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Intake\######_LastName_YYYY_Sponsor_Program_w_LEAD\01_Budget_Drafts\"/>
    </mc:Choice>
  </mc:AlternateContent>
  <xr:revisionPtr revIDLastSave="0" documentId="8_{2551AC82-D0C0-49EF-AB90-9CA6FF40247A}" xr6:coauthVersionLast="45" xr6:coauthVersionMax="45" xr10:uidLastSave="{00000000-0000-0000-0000-000000000000}"/>
  <bookViews>
    <workbookView xWindow="-57720" yWindow="-120" windowWidth="29040" windowHeight="15840" tabRatio="726" xr2:uid="{00000000-000D-0000-FFFF-FFFF00000000}"/>
  </bookViews>
  <sheets>
    <sheet name="rates, dates, etc" sheetId="5" r:id="rId1"/>
    <sheet name="Budget Summary" sheetId="16" r:id="rId2"/>
    <sheet name="Lead Budget" sheetId="1" r:id="rId3"/>
    <sheet name="Co-PI Budget (1)" sheetId="11" r:id="rId4"/>
    <sheet name="Co-PI Budget (2)" sheetId="12" r:id="rId5"/>
    <sheet name="Co-PI Budget (3)" sheetId="13" r:id="rId6"/>
    <sheet name="Co-PI Budget (4)" sheetId="14" r:id="rId7"/>
    <sheet name="Co-PI Budget (5)" sheetId="15" r:id="rId8"/>
    <sheet name="Consortium 1" sheetId="4" r:id="rId9"/>
    <sheet name="Consortium 2" sheetId="7" r:id="rId10"/>
    <sheet name="Consortium 3" sheetId="8" r:id="rId11"/>
    <sheet name="Consortium 4" sheetId="9" r:id="rId12"/>
    <sheet name="Consortium 5" sheetId="10" r:id="rId13"/>
    <sheet name="GRA.Mat" sheetId="19" r:id="rId14"/>
    <sheet name="Travel" sheetId="18" r:id="rId15"/>
  </sheets>
  <definedNames>
    <definedName name="CoPI_1_GRARateTbl">'rates, dates, etc'!$S$142:$AE$147</definedName>
    <definedName name="CoPI_2_GRARateTbl">'rates, dates, etc'!$S$223:$AE$228</definedName>
    <definedName name="CoPI_3_GRARateTbl">'rates, dates, etc'!$S$304:$AF$309</definedName>
    <definedName name="CoPI_4_GRARateTbl">'rates, dates, etc'!$S$385:$AF$390</definedName>
    <definedName name="CoPI_5_GRARateTbl">'rates, dates, etc'!$S$466:$AF$471</definedName>
    <definedName name="FringeAndIDCRates">'rates, dates, etc'!$N$2:$AA$10</definedName>
    <definedName name="Minimum_Undergraduate_rate">'rates, dates, etc'!$N$17</definedName>
    <definedName name="PI_GRARateTbl">'rates, dates, etc'!$S$61:$AE$66</definedName>
    <definedName name="PostdocMinRate">'rates, dates, etc'!$N$14</definedName>
    <definedName name="_xlnm.Print_Area" localSheetId="1">'Budget Summary'!$A$1:$L$96</definedName>
    <definedName name="_xlnm.Print_Area" localSheetId="8">'Consortium 1'!$A$1:$M$57</definedName>
    <definedName name="_xlnm.Print_Area" localSheetId="9">'Consortium 2'!$A$1:$M$57</definedName>
    <definedName name="_xlnm.Print_Area" localSheetId="10">'Consortium 3'!$A$1:$M$57</definedName>
    <definedName name="_xlnm.Print_Area" localSheetId="11">'Consortium 4'!$A$1:$M$57</definedName>
    <definedName name="_xlnm.Print_Area" localSheetId="12">'Consortium 5'!$A$1:$M$57</definedName>
    <definedName name="_xlnm.Print_Area" localSheetId="3">'Co-PI Budget (1)'!$A$1:$M$55</definedName>
    <definedName name="_xlnm.Print_Area" localSheetId="4">'Co-PI Budget (2)'!$A$1:$M$57</definedName>
    <definedName name="_xlnm.Print_Area" localSheetId="5">'Co-PI Budget (3)'!$A$1:$M$57</definedName>
    <definedName name="_xlnm.Print_Area" localSheetId="6">'Co-PI Budget (4)'!$A$1:$M$57</definedName>
    <definedName name="_xlnm.Print_Area" localSheetId="7">'Co-PI Budget (5)'!$A$1:$M$57</definedName>
    <definedName name="_xlnm.Print_Area" localSheetId="2">'Lead Budget'!$A$1:$M$55</definedName>
    <definedName name="_xlnm.Print_Area" localSheetId="0">'rates, dates, etc'!$A$1:$J$504</definedName>
    <definedName name="Stipend9Mo">'rates, dates, etc'!$P$27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0" i="5" l="1"/>
  <c r="T227" i="5"/>
  <c r="U227" i="5"/>
  <c r="V227" i="5"/>
  <c r="W227" i="5"/>
  <c r="X227" i="5"/>
  <c r="Y227" i="5"/>
  <c r="Z227" i="5"/>
  <c r="AA227" i="5"/>
  <c r="AB227" i="5"/>
  <c r="AC227" i="5"/>
  <c r="AD227" i="5"/>
  <c r="S227" i="5"/>
  <c r="T389" i="5"/>
  <c r="U389" i="5"/>
  <c r="V389" i="5"/>
  <c r="W389" i="5"/>
  <c r="X389" i="5"/>
  <c r="Y389" i="5"/>
  <c r="Z389" i="5"/>
  <c r="AA389" i="5"/>
  <c r="AB389" i="5"/>
  <c r="AC389" i="5"/>
  <c r="AD389" i="5"/>
  <c r="AE389" i="5"/>
  <c r="S389" i="5"/>
  <c r="S308" i="5"/>
  <c r="V146" i="5"/>
  <c r="W146" i="5"/>
  <c r="X146" i="5"/>
  <c r="Y146" i="5"/>
  <c r="Z146" i="5"/>
  <c r="AA146" i="5"/>
  <c r="AB146" i="5"/>
  <c r="AC146" i="5"/>
  <c r="AD146" i="5"/>
  <c r="AE146" i="5"/>
  <c r="U146" i="5"/>
  <c r="T146" i="5"/>
  <c r="S146" i="5"/>
  <c r="U65" i="5"/>
  <c r="V65" i="5"/>
  <c r="W65" i="5"/>
  <c r="X65" i="5"/>
  <c r="Y65" i="5"/>
  <c r="Z65" i="5"/>
  <c r="AA65" i="5"/>
  <c r="AB65" i="5"/>
  <c r="AC65" i="5"/>
  <c r="AD65" i="5"/>
  <c r="AE65" i="5"/>
  <c r="AF65" i="5"/>
  <c r="T65" i="5"/>
  <c r="S65" i="5"/>
  <c r="Q30" i="5"/>
  <c r="P26" i="5"/>
  <c r="P27" i="5"/>
  <c r="C63" i="15"/>
  <c r="D63" i="15"/>
  <c r="E63" i="15"/>
  <c r="F63" i="15"/>
  <c r="G63" i="15"/>
  <c r="H63" i="15"/>
  <c r="I63" i="15"/>
  <c r="J63" i="15"/>
  <c r="K63" i="15"/>
  <c r="B63" i="15"/>
  <c r="C63" i="14"/>
  <c r="D63" i="14"/>
  <c r="E63" i="14"/>
  <c r="F63" i="14"/>
  <c r="G63" i="14"/>
  <c r="H63" i="14"/>
  <c r="I63" i="14"/>
  <c r="J63" i="14"/>
  <c r="K63" i="14"/>
  <c r="B63" i="14"/>
  <c r="C63" i="13"/>
  <c r="D63" i="13"/>
  <c r="E63" i="13"/>
  <c r="F63" i="13"/>
  <c r="G63" i="13"/>
  <c r="H63" i="13"/>
  <c r="I63" i="13"/>
  <c r="J63" i="13"/>
  <c r="K63" i="13"/>
  <c r="B63" i="13"/>
  <c r="C63" i="12"/>
  <c r="D63" i="12"/>
  <c r="E63" i="12"/>
  <c r="F63" i="12"/>
  <c r="G63" i="12"/>
  <c r="H63" i="12"/>
  <c r="I63" i="12"/>
  <c r="J63" i="12"/>
  <c r="K63" i="12"/>
  <c r="B63" i="12"/>
  <c r="C61" i="11"/>
  <c r="D61" i="11"/>
  <c r="E61" i="11"/>
  <c r="F61" i="11"/>
  <c r="G61" i="11"/>
  <c r="H61" i="11"/>
  <c r="I61" i="11"/>
  <c r="J61" i="11"/>
  <c r="K61" i="11"/>
  <c r="B61" i="11"/>
  <c r="C61" i="1"/>
  <c r="D61" i="1"/>
  <c r="E61" i="1"/>
  <c r="F61" i="1"/>
  <c r="G61" i="1"/>
  <c r="H61" i="1"/>
  <c r="I61" i="1"/>
  <c r="J61" i="1"/>
  <c r="K61" i="1"/>
  <c r="B61" i="1"/>
  <c r="B490" i="5"/>
  <c r="B409" i="5"/>
  <c r="B328" i="5"/>
  <c r="B247" i="5"/>
  <c r="B166" i="5"/>
  <c r="B85" i="5"/>
  <c r="P24" i="5"/>
  <c r="S61" i="5"/>
  <c r="O2" i="5"/>
  <c r="Q24" i="5"/>
  <c r="T61" i="5"/>
  <c r="P2" i="5"/>
  <c r="R24" i="5"/>
  <c r="U61" i="5"/>
  <c r="Q2" i="5"/>
  <c r="S24" i="5"/>
  <c r="V61" i="5"/>
  <c r="R2" i="5"/>
  <c r="T24" i="5"/>
  <c r="W61" i="5"/>
  <c r="S2" i="5"/>
  <c r="U24" i="5"/>
  <c r="X61" i="5"/>
  <c r="T2" i="5"/>
  <c r="V24" i="5"/>
  <c r="Y61" i="5"/>
  <c r="U2" i="5"/>
  <c r="W24" i="5"/>
  <c r="Z61" i="5"/>
  <c r="V2" i="5"/>
  <c r="X24" i="5"/>
  <c r="AA61" i="5"/>
  <c r="W2" i="5"/>
  <c r="Y24" i="5"/>
  <c r="AB61" i="5"/>
  <c r="X2" i="5"/>
  <c r="Z24" i="5"/>
  <c r="AC61" i="5"/>
  <c r="Y2" i="5"/>
  <c r="AA24" i="5"/>
  <c r="AD61" i="5"/>
  <c r="Z2" i="5"/>
  <c r="AB24" i="5"/>
  <c r="AE61" i="5"/>
  <c r="S62" i="5"/>
  <c r="T62" i="5"/>
  <c r="U62" i="5"/>
  <c r="V62" i="5"/>
  <c r="W62" i="5"/>
  <c r="X62" i="5"/>
  <c r="Y62" i="5"/>
  <c r="Z62" i="5"/>
  <c r="AD2" i="5"/>
  <c r="R90" i="5"/>
  <c r="AD3" i="5"/>
  <c r="Z86" i="5"/>
  <c r="AA62" i="5"/>
  <c r="Z90" i="5"/>
  <c r="R91" i="5"/>
  <c r="Z87" i="5"/>
  <c r="Z91" i="5"/>
  <c r="R92" i="5"/>
  <c r="R93" i="5"/>
  <c r="R94" i="5"/>
  <c r="R95" i="5"/>
  <c r="R96" i="5"/>
  <c r="R97" i="5"/>
  <c r="R98" i="5"/>
  <c r="Z88" i="5"/>
  <c r="T63" i="5"/>
  <c r="U63" i="5"/>
  <c r="V63" i="5"/>
  <c r="W63" i="5"/>
  <c r="X63" i="5"/>
  <c r="Y63" i="5"/>
  <c r="Z63" i="5"/>
  <c r="AA63" i="5"/>
  <c r="Z92" i="5"/>
  <c r="Z93" i="5"/>
  <c r="Z94" i="5"/>
  <c r="Z95" i="5"/>
  <c r="S66" i="5"/>
  <c r="T66" i="5"/>
  <c r="U66" i="5"/>
  <c r="V66" i="5"/>
  <c r="W66" i="5"/>
  <c r="X66" i="5"/>
  <c r="Y66" i="5"/>
  <c r="Z66" i="5"/>
  <c r="AA66" i="5"/>
  <c r="Z96" i="5"/>
  <c r="Z97" i="5"/>
  <c r="Z98" i="5"/>
  <c r="V66" i="1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S143" i="5"/>
  <c r="T143" i="5"/>
  <c r="U143" i="5"/>
  <c r="V143" i="5"/>
  <c r="W143" i="5"/>
  <c r="X143" i="5"/>
  <c r="Y143" i="5"/>
  <c r="Z143" i="5"/>
  <c r="R171" i="5"/>
  <c r="Z167" i="5"/>
  <c r="AA143" i="5"/>
  <c r="Z171" i="5"/>
  <c r="R172" i="5"/>
  <c r="Z168" i="5"/>
  <c r="Z172" i="5"/>
  <c r="R173" i="5"/>
  <c r="R174" i="5"/>
  <c r="R175" i="5"/>
  <c r="R176" i="5"/>
  <c r="R177" i="5"/>
  <c r="R178" i="5"/>
  <c r="R179" i="5"/>
  <c r="Z169" i="5"/>
  <c r="T144" i="5"/>
  <c r="U144" i="5"/>
  <c r="V144" i="5"/>
  <c r="W144" i="5"/>
  <c r="X144" i="5"/>
  <c r="Y144" i="5"/>
  <c r="Z144" i="5"/>
  <c r="AA144" i="5"/>
  <c r="Z173" i="5"/>
  <c r="Z174" i="5"/>
  <c r="Z175" i="5"/>
  <c r="Z176" i="5"/>
  <c r="S147" i="5"/>
  <c r="T147" i="5"/>
  <c r="U147" i="5"/>
  <c r="V147" i="5"/>
  <c r="W147" i="5"/>
  <c r="X147" i="5"/>
  <c r="Y147" i="5"/>
  <c r="Z147" i="5"/>
  <c r="AA147" i="5"/>
  <c r="Z177" i="5"/>
  <c r="Z178" i="5"/>
  <c r="Z179" i="5"/>
  <c r="V66" i="11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S224" i="5"/>
  <c r="T224" i="5"/>
  <c r="U224" i="5"/>
  <c r="V224" i="5"/>
  <c r="W224" i="5"/>
  <c r="X224" i="5"/>
  <c r="Y224" i="5"/>
  <c r="Z224" i="5"/>
  <c r="R252" i="5"/>
  <c r="Z248" i="5"/>
  <c r="AA224" i="5"/>
  <c r="Z252" i="5"/>
  <c r="R253" i="5"/>
  <c r="Z249" i="5"/>
  <c r="Z253" i="5"/>
  <c r="R254" i="5"/>
  <c r="R255" i="5"/>
  <c r="R256" i="5"/>
  <c r="R257" i="5"/>
  <c r="R258" i="5"/>
  <c r="R259" i="5"/>
  <c r="R260" i="5"/>
  <c r="Z250" i="5"/>
  <c r="T225" i="5"/>
  <c r="U225" i="5"/>
  <c r="V225" i="5"/>
  <c r="W225" i="5"/>
  <c r="X225" i="5"/>
  <c r="Y225" i="5"/>
  <c r="Z225" i="5"/>
  <c r="AA225" i="5"/>
  <c r="Z254" i="5"/>
  <c r="Z255" i="5"/>
  <c r="Z256" i="5"/>
  <c r="Z257" i="5"/>
  <c r="S228" i="5"/>
  <c r="T228" i="5"/>
  <c r="U228" i="5"/>
  <c r="V228" i="5"/>
  <c r="W228" i="5"/>
  <c r="X228" i="5"/>
  <c r="Y228" i="5"/>
  <c r="Z228" i="5"/>
  <c r="AA228" i="5"/>
  <c r="Z258" i="5"/>
  <c r="Z259" i="5"/>
  <c r="Z260" i="5"/>
  <c r="V68" i="12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S305" i="5"/>
  <c r="T305" i="5"/>
  <c r="U305" i="5"/>
  <c r="V305" i="5"/>
  <c r="W305" i="5"/>
  <c r="X305" i="5"/>
  <c r="Y305" i="5"/>
  <c r="Z305" i="5"/>
  <c r="R333" i="5"/>
  <c r="Z329" i="5"/>
  <c r="AA305" i="5"/>
  <c r="Z333" i="5"/>
  <c r="R334" i="5"/>
  <c r="Z330" i="5"/>
  <c r="Z334" i="5"/>
  <c r="R335" i="5"/>
  <c r="R336" i="5"/>
  <c r="R337" i="5"/>
  <c r="R338" i="5"/>
  <c r="R339" i="5"/>
  <c r="R340" i="5"/>
  <c r="R341" i="5"/>
  <c r="Z331" i="5"/>
  <c r="T306" i="5"/>
  <c r="U306" i="5"/>
  <c r="V306" i="5"/>
  <c r="W306" i="5"/>
  <c r="X306" i="5"/>
  <c r="Y306" i="5"/>
  <c r="Z306" i="5"/>
  <c r="AA306" i="5"/>
  <c r="Z335" i="5"/>
  <c r="T308" i="5"/>
  <c r="U308" i="5"/>
  <c r="V308" i="5"/>
  <c r="W308" i="5"/>
  <c r="X308" i="5"/>
  <c r="Y308" i="5"/>
  <c r="Z308" i="5"/>
  <c r="AA308" i="5"/>
  <c r="Z336" i="5"/>
  <c r="Z337" i="5"/>
  <c r="Z338" i="5"/>
  <c r="S309" i="5"/>
  <c r="T309" i="5"/>
  <c r="U309" i="5"/>
  <c r="V309" i="5"/>
  <c r="W309" i="5"/>
  <c r="X309" i="5"/>
  <c r="Y309" i="5"/>
  <c r="Z309" i="5"/>
  <c r="AA309" i="5"/>
  <c r="Z339" i="5"/>
  <c r="Z340" i="5"/>
  <c r="Z341" i="5"/>
  <c r="V68" i="13"/>
  <c r="S385" i="5"/>
  <c r="T385" i="5"/>
  <c r="U385" i="5"/>
  <c r="V385" i="5"/>
  <c r="W385" i="5"/>
  <c r="X385" i="5"/>
  <c r="Y385" i="5"/>
  <c r="Z385" i="5"/>
  <c r="AA385" i="5"/>
  <c r="AB385" i="5"/>
  <c r="AC385" i="5"/>
  <c r="AD385" i="5"/>
  <c r="AE385" i="5"/>
  <c r="S386" i="5"/>
  <c r="T386" i="5"/>
  <c r="U386" i="5"/>
  <c r="V386" i="5"/>
  <c r="W386" i="5"/>
  <c r="X386" i="5"/>
  <c r="Y386" i="5"/>
  <c r="Z386" i="5"/>
  <c r="R414" i="5"/>
  <c r="Z410" i="5"/>
  <c r="AA386" i="5"/>
  <c r="Z414" i="5"/>
  <c r="R415" i="5"/>
  <c r="Z411" i="5"/>
  <c r="Z415" i="5"/>
  <c r="R416" i="5"/>
  <c r="R417" i="5"/>
  <c r="R418" i="5"/>
  <c r="R419" i="5"/>
  <c r="R420" i="5"/>
  <c r="R421" i="5"/>
  <c r="R422" i="5"/>
  <c r="Z412" i="5"/>
  <c r="T387" i="5"/>
  <c r="U387" i="5"/>
  <c r="V387" i="5"/>
  <c r="W387" i="5"/>
  <c r="X387" i="5"/>
  <c r="Y387" i="5"/>
  <c r="Z387" i="5"/>
  <c r="AA387" i="5"/>
  <c r="Z416" i="5"/>
  <c r="Z417" i="5"/>
  <c r="Z418" i="5"/>
  <c r="Z419" i="5"/>
  <c r="S390" i="5"/>
  <c r="T390" i="5"/>
  <c r="U390" i="5"/>
  <c r="V390" i="5"/>
  <c r="W390" i="5"/>
  <c r="X390" i="5"/>
  <c r="Y390" i="5"/>
  <c r="Z390" i="5"/>
  <c r="AA390" i="5"/>
  <c r="Z420" i="5"/>
  <c r="Z421" i="5"/>
  <c r="Z422" i="5"/>
  <c r="V68" i="14"/>
  <c r="S466" i="5"/>
  <c r="T466" i="5"/>
  <c r="U466" i="5"/>
  <c r="V466" i="5"/>
  <c r="W466" i="5"/>
  <c r="X466" i="5"/>
  <c r="Y466" i="5"/>
  <c r="Z466" i="5"/>
  <c r="AA466" i="5"/>
  <c r="AB466" i="5"/>
  <c r="AC466" i="5"/>
  <c r="AD466" i="5"/>
  <c r="AE466" i="5"/>
  <c r="S467" i="5"/>
  <c r="T467" i="5"/>
  <c r="U467" i="5"/>
  <c r="V467" i="5"/>
  <c r="W467" i="5"/>
  <c r="X467" i="5"/>
  <c r="Y467" i="5"/>
  <c r="Z467" i="5"/>
  <c r="R495" i="5"/>
  <c r="Z491" i="5"/>
  <c r="AA467" i="5"/>
  <c r="Z495" i="5"/>
  <c r="R496" i="5"/>
  <c r="Z492" i="5"/>
  <c r="Z496" i="5"/>
  <c r="R497" i="5"/>
  <c r="R498" i="5"/>
  <c r="R499" i="5"/>
  <c r="R500" i="5"/>
  <c r="R501" i="5"/>
  <c r="R502" i="5"/>
  <c r="R503" i="5"/>
  <c r="Z493" i="5"/>
  <c r="T468" i="5"/>
  <c r="U468" i="5"/>
  <c r="V468" i="5"/>
  <c r="W468" i="5"/>
  <c r="X468" i="5"/>
  <c r="Y468" i="5"/>
  <c r="Z468" i="5"/>
  <c r="AA468" i="5"/>
  <c r="Z497" i="5"/>
  <c r="Z498" i="5"/>
  <c r="Z499" i="5"/>
  <c r="Z500" i="5"/>
  <c r="S471" i="5"/>
  <c r="T471" i="5"/>
  <c r="U471" i="5"/>
  <c r="V471" i="5"/>
  <c r="W471" i="5"/>
  <c r="X471" i="5"/>
  <c r="Y471" i="5"/>
  <c r="Z471" i="5"/>
  <c r="AA471" i="5"/>
  <c r="Z501" i="5"/>
  <c r="Z502" i="5"/>
  <c r="Z503" i="5"/>
  <c r="V68" i="15"/>
  <c r="V117" i="16"/>
  <c r="AA86" i="5"/>
  <c r="AB62" i="5"/>
  <c r="AA90" i="5"/>
  <c r="AA87" i="5"/>
  <c r="AA91" i="5"/>
  <c r="W66" i="1"/>
  <c r="AA167" i="5"/>
  <c r="AB143" i="5"/>
  <c r="AA171" i="5"/>
  <c r="AA168" i="5"/>
  <c r="AA172" i="5"/>
  <c r="W66" i="11"/>
  <c r="AA248" i="5"/>
  <c r="AB224" i="5"/>
  <c r="AA252" i="5"/>
  <c r="AA249" i="5"/>
  <c r="AA253" i="5"/>
  <c r="W68" i="12"/>
  <c r="AA329" i="5"/>
  <c r="AB305" i="5"/>
  <c r="AA333" i="5"/>
  <c r="AA330" i="5"/>
  <c r="AA334" i="5"/>
  <c r="W68" i="13"/>
  <c r="AA410" i="5"/>
  <c r="AB386" i="5"/>
  <c r="AA414" i="5"/>
  <c r="AA411" i="5"/>
  <c r="AA415" i="5"/>
  <c r="W68" i="14"/>
  <c r="AA491" i="5"/>
  <c r="AB467" i="5"/>
  <c r="AA495" i="5"/>
  <c r="AA492" i="5"/>
  <c r="AA496" i="5"/>
  <c r="W68" i="15"/>
  <c r="W117" i="16"/>
  <c r="AB86" i="5"/>
  <c r="AC62" i="5"/>
  <c r="AB90" i="5"/>
  <c r="AB87" i="5"/>
  <c r="AB91" i="5"/>
  <c r="X66" i="1"/>
  <c r="AB167" i="5"/>
  <c r="AC143" i="5"/>
  <c r="AB171" i="5"/>
  <c r="AB168" i="5"/>
  <c r="AB172" i="5"/>
  <c r="X66" i="11"/>
  <c r="AB248" i="5"/>
  <c r="AC224" i="5"/>
  <c r="AB252" i="5"/>
  <c r="AB249" i="5"/>
  <c r="AB253" i="5"/>
  <c r="X68" i="12"/>
  <c r="AB329" i="5"/>
  <c r="AC305" i="5"/>
  <c r="AB333" i="5"/>
  <c r="AB330" i="5"/>
  <c r="AB334" i="5"/>
  <c r="X68" i="13"/>
  <c r="AB410" i="5"/>
  <c r="AC386" i="5"/>
  <c r="AB414" i="5"/>
  <c r="AB411" i="5"/>
  <c r="AB415" i="5"/>
  <c r="X68" i="14"/>
  <c r="AB491" i="5"/>
  <c r="AC467" i="5"/>
  <c r="AB495" i="5"/>
  <c r="AB492" i="5"/>
  <c r="AB496" i="5"/>
  <c r="X68" i="15"/>
  <c r="X117" i="16"/>
  <c r="S63" i="5"/>
  <c r="Q26" i="5"/>
  <c r="V67" i="1"/>
  <c r="S144" i="5"/>
  <c r="V67" i="11"/>
  <c r="S225" i="5"/>
  <c r="V69" i="12"/>
  <c r="S306" i="5"/>
  <c r="V69" i="13"/>
  <c r="S387" i="5"/>
  <c r="V69" i="14"/>
  <c r="S468" i="5"/>
  <c r="V69" i="15"/>
  <c r="V118" i="16"/>
  <c r="AA88" i="5"/>
  <c r="AB63" i="5"/>
  <c r="AA92" i="5"/>
  <c r="W67" i="1"/>
  <c r="AA169" i="5"/>
  <c r="AB144" i="5"/>
  <c r="AA173" i="5"/>
  <c r="W67" i="11"/>
  <c r="AA250" i="5"/>
  <c r="AB225" i="5"/>
  <c r="AA254" i="5"/>
  <c r="W69" i="12"/>
  <c r="AA331" i="5"/>
  <c r="AB306" i="5"/>
  <c r="AA335" i="5"/>
  <c r="W69" i="13"/>
  <c r="AA412" i="5"/>
  <c r="AB387" i="5"/>
  <c r="AA416" i="5"/>
  <c r="W69" i="14"/>
  <c r="AA493" i="5"/>
  <c r="AB468" i="5"/>
  <c r="AA497" i="5"/>
  <c r="W69" i="15"/>
  <c r="W118" i="16"/>
  <c r="AB88" i="5"/>
  <c r="AC63" i="5"/>
  <c r="AB92" i="5"/>
  <c r="X67" i="1"/>
  <c r="AB169" i="5"/>
  <c r="AC144" i="5"/>
  <c r="AB173" i="5"/>
  <c r="X67" i="11"/>
  <c r="AB250" i="5"/>
  <c r="AC225" i="5"/>
  <c r="AB254" i="5"/>
  <c r="X69" i="12"/>
  <c r="AB331" i="5"/>
  <c r="AC306" i="5"/>
  <c r="AB335" i="5"/>
  <c r="X69" i="13"/>
  <c r="AB412" i="5"/>
  <c r="AC387" i="5"/>
  <c r="AB416" i="5"/>
  <c r="X69" i="14"/>
  <c r="AB493" i="5"/>
  <c r="AC468" i="5"/>
  <c r="AB497" i="5"/>
  <c r="X69" i="15"/>
  <c r="X118" i="16"/>
  <c r="V68" i="1"/>
  <c r="V68" i="11"/>
  <c r="V70" i="12"/>
  <c r="V70" i="13"/>
  <c r="V70" i="14"/>
  <c r="V70" i="15"/>
  <c r="V119" i="16"/>
  <c r="AA93" i="5"/>
  <c r="AA94" i="5"/>
  <c r="AA95" i="5"/>
  <c r="W68" i="1"/>
  <c r="AA174" i="5"/>
  <c r="AA175" i="5"/>
  <c r="AA176" i="5"/>
  <c r="W68" i="11"/>
  <c r="AA255" i="5"/>
  <c r="AA256" i="5"/>
  <c r="AA257" i="5"/>
  <c r="W70" i="12"/>
  <c r="AB308" i="5"/>
  <c r="AA336" i="5"/>
  <c r="AA337" i="5"/>
  <c r="AA338" i="5"/>
  <c r="W70" i="13"/>
  <c r="AA417" i="5"/>
  <c r="AA418" i="5"/>
  <c r="AA419" i="5"/>
  <c r="W70" i="14"/>
  <c r="AA498" i="5"/>
  <c r="AA499" i="5"/>
  <c r="AA500" i="5"/>
  <c r="W70" i="15"/>
  <c r="W119" i="16"/>
  <c r="AB93" i="5"/>
  <c r="AB94" i="5"/>
  <c r="AB95" i="5"/>
  <c r="X68" i="1"/>
  <c r="AB174" i="5"/>
  <c r="AB175" i="5"/>
  <c r="AB176" i="5"/>
  <c r="X68" i="11"/>
  <c r="AB255" i="5"/>
  <c r="AB256" i="5"/>
  <c r="AB257" i="5"/>
  <c r="X70" i="12"/>
  <c r="AC308" i="5"/>
  <c r="AB336" i="5"/>
  <c r="AB337" i="5"/>
  <c r="AB338" i="5"/>
  <c r="X70" i="13"/>
  <c r="AB417" i="5"/>
  <c r="AB418" i="5"/>
  <c r="AB419" i="5"/>
  <c r="X70" i="14"/>
  <c r="AB498" i="5"/>
  <c r="AB499" i="5"/>
  <c r="AB500" i="5"/>
  <c r="X70" i="15"/>
  <c r="X119" i="16"/>
  <c r="V69" i="1"/>
  <c r="V69" i="11"/>
  <c r="V71" i="12"/>
  <c r="V71" i="13"/>
  <c r="V71" i="14"/>
  <c r="V71" i="15"/>
  <c r="V120" i="16"/>
  <c r="AB66" i="5"/>
  <c r="AA96" i="5"/>
  <c r="AA97" i="5"/>
  <c r="AA98" i="5"/>
  <c r="W69" i="1"/>
  <c r="AB147" i="5"/>
  <c r="AA177" i="5"/>
  <c r="AA178" i="5"/>
  <c r="AA179" i="5"/>
  <c r="W69" i="11"/>
  <c r="AB228" i="5"/>
  <c r="AA258" i="5"/>
  <c r="AA259" i="5"/>
  <c r="AA260" i="5"/>
  <c r="W71" i="12"/>
  <c r="AB309" i="5"/>
  <c r="AA339" i="5"/>
  <c r="AA340" i="5"/>
  <c r="AA341" i="5"/>
  <c r="W71" i="13"/>
  <c r="AB390" i="5"/>
  <c r="AA420" i="5"/>
  <c r="AA421" i="5"/>
  <c r="AA422" i="5"/>
  <c r="W71" i="14"/>
  <c r="AB471" i="5"/>
  <c r="AA501" i="5"/>
  <c r="AA502" i="5"/>
  <c r="AA503" i="5"/>
  <c r="W71" i="15"/>
  <c r="W120" i="16"/>
  <c r="AC66" i="5"/>
  <c r="AB96" i="5"/>
  <c r="AB97" i="5"/>
  <c r="AB98" i="5"/>
  <c r="X69" i="1"/>
  <c r="AC147" i="5"/>
  <c r="AB177" i="5"/>
  <c r="AB178" i="5"/>
  <c r="AB179" i="5"/>
  <c r="X69" i="11"/>
  <c r="AC228" i="5"/>
  <c r="AB258" i="5"/>
  <c r="AB259" i="5"/>
  <c r="AB260" i="5"/>
  <c r="X71" i="12"/>
  <c r="AC309" i="5"/>
  <c r="AB339" i="5"/>
  <c r="AB340" i="5"/>
  <c r="AB341" i="5"/>
  <c r="X71" i="13"/>
  <c r="AC390" i="5"/>
  <c r="AB420" i="5"/>
  <c r="AB421" i="5"/>
  <c r="AB422" i="5"/>
  <c r="X71" i="14"/>
  <c r="AC471" i="5"/>
  <c r="AB501" i="5"/>
  <c r="AB502" i="5"/>
  <c r="AB503" i="5"/>
  <c r="X71" i="15"/>
  <c r="X120" i="16"/>
  <c r="Y86" i="5"/>
  <c r="Y90" i="5"/>
  <c r="Y87" i="5"/>
  <c r="Y91" i="5"/>
  <c r="U66" i="1"/>
  <c r="Y167" i="5"/>
  <c r="Y171" i="5"/>
  <c r="Y168" i="5"/>
  <c r="Y172" i="5"/>
  <c r="U66" i="11"/>
  <c r="Y248" i="5"/>
  <c r="Y252" i="5"/>
  <c r="Y249" i="5"/>
  <c r="Y253" i="5"/>
  <c r="U68" i="12"/>
  <c r="Y329" i="5"/>
  <c r="Y333" i="5"/>
  <c r="Y330" i="5"/>
  <c r="Y334" i="5"/>
  <c r="U68" i="13"/>
  <c r="Y410" i="5"/>
  <c r="Y414" i="5"/>
  <c r="Y411" i="5"/>
  <c r="Y415" i="5"/>
  <c r="U68" i="14"/>
  <c r="Y491" i="5"/>
  <c r="Y495" i="5"/>
  <c r="Y492" i="5"/>
  <c r="Y496" i="5"/>
  <c r="U68" i="15"/>
  <c r="U117" i="16"/>
  <c r="Y88" i="5"/>
  <c r="Y92" i="5"/>
  <c r="U67" i="1"/>
  <c r="Y169" i="5"/>
  <c r="Y173" i="5"/>
  <c r="U67" i="11"/>
  <c r="Y250" i="5"/>
  <c r="Y254" i="5"/>
  <c r="U69" i="12"/>
  <c r="Y331" i="5"/>
  <c r="Y335" i="5"/>
  <c r="U69" i="13"/>
  <c r="Y412" i="5"/>
  <c r="Y416" i="5"/>
  <c r="U69" i="14"/>
  <c r="Y493" i="5"/>
  <c r="Y497" i="5"/>
  <c r="U69" i="15"/>
  <c r="U118" i="16"/>
  <c r="Y93" i="5"/>
  <c r="Y94" i="5"/>
  <c r="Y95" i="5"/>
  <c r="U68" i="1"/>
  <c r="Y174" i="5"/>
  <c r="Y175" i="5"/>
  <c r="Y176" i="5"/>
  <c r="U68" i="11"/>
  <c r="Y255" i="5"/>
  <c r="Y256" i="5"/>
  <c r="Y257" i="5"/>
  <c r="U70" i="12"/>
  <c r="Y336" i="5"/>
  <c r="Y337" i="5"/>
  <c r="Y338" i="5"/>
  <c r="U70" i="13"/>
  <c r="Y417" i="5"/>
  <c r="Y418" i="5"/>
  <c r="Y419" i="5"/>
  <c r="U70" i="14"/>
  <c r="Y498" i="5"/>
  <c r="Y499" i="5"/>
  <c r="Y500" i="5"/>
  <c r="U70" i="15"/>
  <c r="U119" i="16"/>
  <c r="Y96" i="5"/>
  <c r="Y97" i="5"/>
  <c r="Y98" i="5"/>
  <c r="U69" i="1"/>
  <c r="Y177" i="5"/>
  <c r="Y178" i="5"/>
  <c r="Y179" i="5"/>
  <c r="U69" i="11"/>
  <c r="Y258" i="5"/>
  <c r="Y259" i="5"/>
  <c r="Y260" i="5"/>
  <c r="U71" i="12"/>
  <c r="Y339" i="5"/>
  <c r="Y340" i="5"/>
  <c r="Y341" i="5"/>
  <c r="U71" i="13"/>
  <c r="Y420" i="5"/>
  <c r="Y421" i="5"/>
  <c r="Y422" i="5"/>
  <c r="U71" i="14"/>
  <c r="Y501" i="5"/>
  <c r="Y502" i="5"/>
  <c r="Y503" i="5"/>
  <c r="U71" i="15"/>
  <c r="U120" i="16"/>
  <c r="T86" i="5"/>
  <c r="T90" i="5"/>
  <c r="U86" i="5"/>
  <c r="U90" i="5"/>
  <c r="V86" i="5"/>
  <c r="V90" i="5"/>
  <c r="W86" i="5"/>
  <c r="W90" i="5"/>
  <c r="X86" i="5"/>
  <c r="X90" i="5"/>
  <c r="T87" i="5"/>
  <c r="T91" i="5"/>
  <c r="U87" i="5"/>
  <c r="U91" i="5"/>
  <c r="V87" i="5"/>
  <c r="V91" i="5"/>
  <c r="W87" i="5"/>
  <c r="W91" i="5"/>
  <c r="X87" i="5"/>
  <c r="X91" i="5"/>
  <c r="T88" i="5"/>
  <c r="T92" i="5"/>
  <c r="U88" i="5"/>
  <c r="U92" i="5"/>
  <c r="V88" i="5"/>
  <c r="V92" i="5"/>
  <c r="W88" i="5"/>
  <c r="W92" i="5"/>
  <c r="X88" i="5"/>
  <c r="X92" i="5"/>
  <c r="T93" i="5"/>
  <c r="U93" i="5"/>
  <c r="V93" i="5"/>
  <c r="W93" i="5"/>
  <c r="X93" i="5"/>
  <c r="T94" i="5"/>
  <c r="U94" i="5"/>
  <c r="V94" i="5"/>
  <c r="W94" i="5"/>
  <c r="X94" i="5"/>
  <c r="T95" i="5"/>
  <c r="U95" i="5"/>
  <c r="V95" i="5"/>
  <c r="W95" i="5"/>
  <c r="X95" i="5"/>
  <c r="T96" i="5"/>
  <c r="U96" i="5"/>
  <c r="V96" i="5"/>
  <c r="W96" i="5"/>
  <c r="X96" i="5"/>
  <c r="T97" i="5"/>
  <c r="U97" i="5"/>
  <c r="V97" i="5"/>
  <c r="W97" i="5"/>
  <c r="X97" i="5"/>
  <c r="T98" i="5"/>
  <c r="U98" i="5"/>
  <c r="V98" i="5"/>
  <c r="W98" i="5"/>
  <c r="X98" i="5"/>
  <c r="S98" i="5"/>
  <c r="S87" i="5"/>
  <c r="S97" i="5"/>
  <c r="S86" i="5"/>
  <c r="S96" i="5"/>
  <c r="S95" i="5"/>
  <c r="S94" i="5"/>
  <c r="S93" i="5"/>
  <c r="S88" i="5"/>
  <c r="S92" i="5"/>
  <c r="S91" i="5"/>
  <c r="S90" i="5"/>
  <c r="C317" i="5"/>
  <c r="C236" i="5"/>
  <c r="C155" i="5"/>
  <c r="C74" i="5"/>
  <c r="AA2" i="5"/>
  <c r="AC24" i="5"/>
  <c r="AF61" i="5"/>
  <c r="AC21" i="5"/>
  <c r="AC22" i="5"/>
  <c r="AC23" i="5"/>
  <c r="R25" i="5"/>
  <c r="S25" i="5"/>
  <c r="T25" i="5"/>
  <c r="U25" i="5"/>
  <c r="V25" i="5"/>
  <c r="W25" i="5"/>
  <c r="X25" i="5"/>
  <c r="Y25" i="5"/>
  <c r="Z25" i="5"/>
  <c r="AA25" i="5"/>
  <c r="AB25" i="5"/>
  <c r="AC25" i="5"/>
  <c r="R26" i="5"/>
  <c r="S26" i="5"/>
  <c r="T26" i="5"/>
  <c r="U26" i="5"/>
  <c r="V26" i="5"/>
  <c r="W26" i="5"/>
  <c r="X26" i="5"/>
  <c r="Y26" i="5"/>
  <c r="Z26" i="5"/>
  <c r="AA26" i="5"/>
  <c r="AB26" i="5"/>
  <c r="AC26" i="5"/>
  <c r="AC27" i="5"/>
  <c r="AC28" i="5"/>
  <c r="S29" i="5"/>
  <c r="T29" i="5"/>
  <c r="U29" i="5"/>
  <c r="V29" i="5"/>
  <c r="W29" i="5"/>
  <c r="X29" i="5"/>
  <c r="Y29" i="5"/>
  <c r="Z29" i="5"/>
  <c r="AA29" i="5"/>
  <c r="AB29" i="5"/>
  <c r="AC29" i="5"/>
  <c r="R30" i="5"/>
  <c r="S30" i="5"/>
  <c r="T30" i="5"/>
  <c r="U30" i="5"/>
  <c r="V30" i="5"/>
  <c r="W30" i="5"/>
  <c r="X30" i="5"/>
  <c r="Y30" i="5"/>
  <c r="Z30" i="5"/>
  <c r="AA30" i="5"/>
  <c r="AB30" i="5"/>
  <c r="AC30" i="5"/>
  <c r="AD62" i="5"/>
  <c r="AE62" i="5"/>
  <c r="AF62" i="5"/>
  <c r="AD63" i="5"/>
  <c r="AE63" i="5"/>
  <c r="AF63" i="5"/>
  <c r="AF64" i="5"/>
  <c r="AD66" i="5"/>
  <c r="AE66" i="5"/>
  <c r="AF66" i="5"/>
  <c r="AD69" i="5"/>
  <c r="AD150" i="5"/>
  <c r="AD231" i="5"/>
  <c r="AD312" i="5"/>
  <c r="AD393" i="5"/>
  <c r="AD474" i="5"/>
  <c r="AD70" i="5"/>
  <c r="AD151" i="5"/>
  <c r="AD232" i="5"/>
  <c r="AD313" i="5"/>
  <c r="AD394" i="5"/>
  <c r="AD475" i="5"/>
  <c r="AD71" i="5"/>
  <c r="AD152" i="5"/>
  <c r="AD233" i="5"/>
  <c r="AD314" i="5"/>
  <c r="AD395" i="5"/>
  <c r="AD476" i="5"/>
  <c r="AP4" i="5"/>
  <c r="AD72" i="5"/>
  <c r="AD153" i="5"/>
  <c r="AD234" i="5"/>
  <c r="AD315" i="5"/>
  <c r="AD396" i="5"/>
  <c r="AD477" i="5"/>
  <c r="AD479" i="5"/>
  <c r="AD480" i="5"/>
  <c r="AD481" i="5"/>
  <c r="AC479" i="5"/>
  <c r="AC480" i="5"/>
  <c r="AC481" i="5"/>
  <c r="AD398" i="5"/>
  <c r="AD399" i="5"/>
  <c r="AD400" i="5"/>
  <c r="AD317" i="5"/>
  <c r="AD318" i="5"/>
  <c r="AD319" i="5"/>
  <c r="AD236" i="5"/>
  <c r="AD237" i="5"/>
  <c r="AD238" i="5"/>
  <c r="AD155" i="5"/>
  <c r="AD156" i="5"/>
  <c r="AD157" i="5"/>
  <c r="AD467" i="5"/>
  <c r="AE467" i="5"/>
  <c r="AD468" i="5"/>
  <c r="AE468" i="5"/>
  <c r="AE469" i="5"/>
  <c r="AE470" i="5"/>
  <c r="AD471" i="5"/>
  <c r="AE471" i="5"/>
  <c r="AD386" i="5"/>
  <c r="AE386" i="5"/>
  <c r="AD387" i="5"/>
  <c r="AE387" i="5"/>
  <c r="AE388" i="5"/>
  <c r="AD390" i="5"/>
  <c r="AE390" i="5"/>
  <c r="AD305" i="5"/>
  <c r="AE305" i="5"/>
  <c r="AD306" i="5"/>
  <c r="AE306" i="5"/>
  <c r="AE307" i="5"/>
  <c r="AD308" i="5"/>
  <c r="AE308" i="5"/>
  <c r="AD309" i="5"/>
  <c r="AE309" i="5"/>
  <c r="AC69" i="5"/>
  <c r="AD74" i="5"/>
  <c r="AD75" i="5"/>
  <c r="AD76" i="5"/>
  <c r="AB21" i="5"/>
  <c r="AB22" i="5"/>
  <c r="AB23" i="5"/>
  <c r="AB27" i="5"/>
  <c r="Q28" i="5"/>
  <c r="R28" i="5"/>
  <c r="S28" i="5"/>
  <c r="T28" i="5"/>
  <c r="U28" i="5"/>
  <c r="V28" i="5"/>
  <c r="W28" i="5"/>
  <c r="X28" i="5"/>
  <c r="Y28" i="5"/>
  <c r="Z28" i="5"/>
  <c r="AA28" i="5"/>
  <c r="AB28" i="5"/>
  <c r="AB2" i="5"/>
  <c r="AD224" i="5"/>
  <c r="AE224" i="5"/>
  <c r="AD225" i="5"/>
  <c r="AE225" i="5"/>
  <c r="AE226" i="5"/>
  <c r="AE227" i="5"/>
  <c r="AD228" i="5"/>
  <c r="AE228" i="5"/>
  <c r="AD143" i="5"/>
  <c r="AE143" i="5"/>
  <c r="AD144" i="5"/>
  <c r="AE144" i="5"/>
  <c r="AE145" i="5"/>
  <c r="AD147" i="5"/>
  <c r="AE147" i="5"/>
  <c r="AE64" i="5"/>
  <c r="M500" i="5"/>
  <c r="P35" i="5"/>
  <c r="AE5" i="5"/>
  <c r="AF5" i="5"/>
  <c r="AG5" i="5"/>
  <c r="AH5" i="5"/>
  <c r="AI5" i="5"/>
  <c r="AJ5" i="5"/>
  <c r="AK5" i="5"/>
  <c r="AL5" i="5"/>
  <c r="AM5" i="5"/>
  <c r="AN5" i="5"/>
  <c r="AO5" i="5"/>
  <c r="AP5" i="5"/>
  <c r="AE4" i="5"/>
  <c r="AF4" i="5"/>
  <c r="AG4" i="5"/>
  <c r="AH4" i="5"/>
  <c r="AI4" i="5"/>
  <c r="AJ4" i="5"/>
  <c r="AK4" i="5"/>
  <c r="AL4" i="5"/>
  <c r="AM4" i="5"/>
  <c r="AN4" i="5"/>
  <c r="AO4" i="5"/>
  <c r="M499" i="5"/>
  <c r="M501" i="5"/>
  <c r="M503" i="5"/>
  <c r="P36" i="5"/>
  <c r="O37" i="5"/>
  <c r="Q35" i="5"/>
  <c r="Q36" i="5"/>
  <c r="M504" i="5"/>
  <c r="M471" i="5"/>
  <c r="M470" i="5"/>
  <c r="M472" i="5"/>
  <c r="M474" i="5"/>
  <c r="M475" i="5"/>
  <c r="M478" i="5"/>
  <c r="M477" i="5"/>
  <c r="M479" i="5"/>
  <c r="M481" i="5"/>
  <c r="M482" i="5"/>
  <c r="N447" i="5"/>
  <c r="AE6" i="5"/>
  <c r="AE7" i="5"/>
  <c r="AF6" i="5"/>
  <c r="AF7" i="5"/>
  <c r="AG6" i="5"/>
  <c r="AG7" i="5"/>
  <c r="AH6" i="5"/>
  <c r="AH7" i="5"/>
  <c r="AI6" i="5"/>
  <c r="AI7" i="5"/>
  <c r="AJ6" i="5"/>
  <c r="AJ7" i="5"/>
  <c r="AK6" i="5"/>
  <c r="AK7" i="5"/>
  <c r="AL6" i="5"/>
  <c r="AL7" i="5"/>
  <c r="AM6" i="5"/>
  <c r="AM7" i="5"/>
  <c r="AN6" i="5"/>
  <c r="AN7" i="5"/>
  <c r="AO6" i="5"/>
  <c r="AO7" i="5"/>
  <c r="AP6" i="5"/>
  <c r="AP7" i="5"/>
  <c r="AP8" i="5"/>
  <c r="N444" i="5"/>
  <c r="N446" i="5"/>
  <c r="N448" i="5"/>
  <c r="N450" i="5"/>
  <c r="N451" i="5"/>
  <c r="N452" i="5"/>
  <c r="N455" i="5"/>
  <c r="N454" i="5"/>
  <c r="N456" i="5"/>
  <c r="N458" i="5"/>
  <c r="N459" i="5"/>
  <c r="N460" i="5"/>
  <c r="N463" i="5"/>
  <c r="N462" i="5"/>
  <c r="N464" i="5"/>
  <c r="N466" i="5"/>
  <c r="N467" i="5"/>
  <c r="N468" i="5"/>
  <c r="M419" i="5"/>
  <c r="M418" i="5"/>
  <c r="M420" i="5"/>
  <c r="M422" i="5"/>
  <c r="M423" i="5"/>
  <c r="M390" i="5"/>
  <c r="M389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M393" i="5"/>
  <c r="M394" i="5"/>
  <c r="M397" i="5"/>
  <c r="M396" i="5"/>
  <c r="M398" i="5"/>
  <c r="M400" i="5"/>
  <c r="M401" i="5"/>
  <c r="N366" i="5"/>
  <c r="N363" i="5"/>
  <c r="N365" i="5"/>
  <c r="N367" i="5"/>
  <c r="N369" i="5"/>
  <c r="N370" i="5"/>
  <c r="N371" i="5"/>
  <c r="N374" i="5"/>
  <c r="N373" i="5"/>
  <c r="N375" i="5"/>
  <c r="N377" i="5"/>
  <c r="N378" i="5"/>
  <c r="N379" i="5"/>
  <c r="N382" i="5"/>
  <c r="N381" i="5"/>
  <c r="N383" i="5"/>
  <c r="N385" i="5"/>
  <c r="N386" i="5"/>
  <c r="N387" i="5"/>
  <c r="M338" i="5"/>
  <c r="M337" i="5"/>
  <c r="M339" i="5"/>
  <c r="M341" i="5"/>
  <c r="M342" i="5"/>
  <c r="M309" i="5"/>
  <c r="M308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M312" i="5"/>
  <c r="M313" i="5"/>
  <c r="M316" i="5"/>
  <c r="M315" i="5"/>
  <c r="D317" i="5"/>
  <c r="E317" i="5"/>
  <c r="F317" i="5"/>
  <c r="G317" i="5"/>
  <c r="H317" i="5"/>
  <c r="I317" i="5"/>
  <c r="J317" i="5"/>
  <c r="K317" i="5"/>
  <c r="L317" i="5"/>
  <c r="M317" i="5"/>
  <c r="M319" i="5"/>
  <c r="M320" i="5"/>
  <c r="N285" i="5"/>
  <c r="N282" i="5"/>
  <c r="N284" i="5"/>
  <c r="N286" i="5"/>
  <c r="N288" i="5"/>
  <c r="N289" i="5"/>
  <c r="N290" i="5"/>
  <c r="N293" i="5"/>
  <c r="N292" i="5"/>
  <c r="N294" i="5"/>
  <c r="N296" i="5"/>
  <c r="N297" i="5"/>
  <c r="N298" i="5"/>
  <c r="N301" i="5"/>
  <c r="N300" i="5"/>
  <c r="N302" i="5"/>
  <c r="N304" i="5"/>
  <c r="N305" i="5"/>
  <c r="N306" i="5"/>
  <c r="M257" i="5"/>
  <c r="M256" i="5"/>
  <c r="M258" i="5"/>
  <c r="M260" i="5"/>
  <c r="M261" i="5"/>
  <c r="M228" i="5"/>
  <c r="M227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M231" i="5"/>
  <c r="M232" i="5"/>
  <c r="M235" i="5"/>
  <c r="M234" i="5"/>
  <c r="D236" i="5"/>
  <c r="E236" i="5"/>
  <c r="F236" i="5"/>
  <c r="G236" i="5"/>
  <c r="H236" i="5"/>
  <c r="I236" i="5"/>
  <c r="J236" i="5"/>
  <c r="K236" i="5"/>
  <c r="L236" i="5"/>
  <c r="M236" i="5"/>
  <c r="M238" i="5"/>
  <c r="M239" i="5"/>
  <c r="N204" i="5"/>
  <c r="N201" i="5"/>
  <c r="N203" i="5"/>
  <c r="N205" i="5"/>
  <c r="N207" i="5"/>
  <c r="N208" i="5"/>
  <c r="N209" i="5"/>
  <c r="N212" i="5"/>
  <c r="N211" i="5"/>
  <c r="N213" i="5"/>
  <c r="N215" i="5"/>
  <c r="N216" i="5"/>
  <c r="N217" i="5"/>
  <c r="N220" i="5"/>
  <c r="N219" i="5"/>
  <c r="N221" i="5"/>
  <c r="N223" i="5"/>
  <c r="N224" i="5"/>
  <c r="N225" i="5"/>
  <c r="M176" i="5"/>
  <c r="M175" i="5"/>
  <c r="M177" i="5"/>
  <c r="M179" i="5"/>
  <c r="M180" i="5"/>
  <c r="M147" i="5"/>
  <c r="M146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M150" i="5"/>
  <c r="M151" i="5"/>
  <c r="M154" i="5"/>
  <c r="M153" i="5"/>
  <c r="D155" i="5"/>
  <c r="E155" i="5"/>
  <c r="F155" i="5"/>
  <c r="G155" i="5"/>
  <c r="H155" i="5"/>
  <c r="I155" i="5"/>
  <c r="J155" i="5"/>
  <c r="K155" i="5"/>
  <c r="L155" i="5"/>
  <c r="M155" i="5"/>
  <c r="M157" i="5"/>
  <c r="M158" i="5"/>
  <c r="N123" i="5"/>
  <c r="N120" i="5"/>
  <c r="N122" i="5"/>
  <c r="N124" i="5"/>
  <c r="N126" i="5"/>
  <c r="N127" i="5"/>
  <c r="N128" i="5"/>
  <c r="N131" i="5"/>
  <c r="N130" i="5"/>
  <c r="N132" i="5"/>
  <c r="N134" i="5"/>
  <c r="N135" i="5"/>
  <c r="N136" i="5"/>
  <c r="N139" i="5"/>
  <c r="N138" i="5"/>
  <c r="N140" i="5"/>
  <c r="N142" i="5"/>
  <c r="N143" i="5"/>
  <c r="N144" i="5"/>
  <c r="M95" i="5"/>
  <c r="M94" i="5"/>
  <c r="M96" i="5"/>
  <c r="M98" i="5"/>
  <c r="M99" i="5"/>
  <c r="M66" i="5"/>
  <c r="M65" i="5"/>
  <c r="B67" i="5"/>
  <c r="C67" i="5"/>
  <c r="D67" i="5"/>
  <c r="E67" i="5"/>
  <c r="F67" i="5"/>
  <c r="G67" i="5"/>
  <c r="H67" i="5"/>
  <c r="I67" i="5"/>
  <c r="J67" i="5"/>
  <c r="K67" i="5"/>
  <c r="L67" i="5"/>
  <c r="M67" i="5"/>
  <c r="M69" i="5"/>
  <c r="M70" i="5"/>
  <c r="M73" i="5"/>
  <c r="M72" i="5"/>
  <c r="D74" i="5"/>
  <c r="E74" i="5"/>
  <c r="F74" i="5"/>
  <c r="G74" i="5"/>
  <c r="H74" i="5"/>
  <c r="I74" i="5"/>
  <c r="J74" i="5"/>
  <c r="K74" i="5"/>
  <c r="L74" i="5"/>
  <c r="M74" i="5"/>
  <c r="M76" i="5"/>
  <c r="M77" i="5"/>
  <c r="N42" i="5"/>
  <c r="N39" i="5"/>
  <c r="N41" i="5"/>
  <c r="N43" i="5"/>
  <c r="N45" i="5"/>
  <c r="N46" i="5"/>
  <c r="N47" i="5"/>
  <c r="N50" i="5"/>
  <c r="N49" i="5"/>
  <c r="N51" i="5"/>
  <c r="N53" i="5"/>
  <c r="N54" i="5"/>
  <c r="N55" i="5"/>
  <c r="N58" i="5"/>
  <c r="N57" i="5"/>
  <c r="N59" i="5"/>
  <c r="N61" i="5"/>
  <c r="N62" i="5"/>
  <c r="N63" i="5"/>
  <c r="C31" i="5"/>
  <c r="C193" i="5"/>
  <c r="C194" i="5"/>
  <c r="C36" i="5"/>
  <c r="D36" i="5"/>
  <c r="E36" i="5"/>
  <c r="F36" i="5"/>
  <c r="G36" i="5"/>
  <c r="H36" i="5"/>
  <c r="I36" i="5"/>
  <c r="J36" i="5"/>
  <c r="K36" i="5"/>
  <c r="L36" i="5"/>
  <c r="M36" i="5"/>
  <c r="C441" i="5"/>
  <c r="D441" i="5"/>
  <c r="E441" i="5"/>
  <c r="F441" i="5"/>
  <c r="G441" i="5"/>
  <c r="H441" i="5"/>
  <c r="I441" i="5"/>
  <c r="J441" i="5"/>
  <c r="K441" i="5"/>
  <c r="L441" i="5"/>
  <c r="M441" i="5"/>
  <c r="B441" i="5"/>
  <c r="C360" i="5"/>
  <c r="D360" i="5"/>
  <c r="E360" i="5"/>
  <c r="F360" i="5"/>
  <c r="G360" i="5"/>
  <c r="H360" i="5"/>
  <c r="I360" i="5"/>
  <c r="J360" i="5"/>
  <c r="K360" i="5"/>
  <c r="L360" i="5"/>
  <c r="M360" i="5"/>
  <c r="B360" i="5"/>
  <c r="C279" i="5"/>
  <c r="D279" i="5"/>
  <c r="E279" i="5"/>
  <c r="F279" i="5"/>
  <c r="G279" i="5"/>
  <c r="H279" i="5"/>
  <c r="I279" i="5"/>
  <c r="J279" i="5"/>
  <c r="K279" i="5"/>
  <c r="L279" i="5"/>
  <c r="M279" i="5"/>
  <c r="B279" i="5"/>
  <c r="C198" i="5"/>
  <c r="D198" i="5"/>
  <c r="E198" i="5"/>
  <c r="F198" i="5"/>
  <c r="G198" i="5"/>
  <c r="H198" i="5"/>
  <c r="I198" i="5"/>
  <c r="J198" i="5"/>
  <c r="K198" i="5"/>
  <c r="L198" i="5"/>
  <c r="M198" i="5"/>
  <c r="B198" i="5"/>
  <c r="C117" i="5"/>
  <c r="D117" i="5"/>
  <c r="E117" i="5"/>
  <c r="F117" i="5"/>
  <c r="G117" i="5"/>
  <c r="H117" i="5"/>
  <c r="I117" i="5"/>
  <c r="J117" i="5"/>
  <c r="K117" i="5"/>
  <c r="L117" i="5"/>
  <c r="M117" i="5"/>
  <c r="B117" i="5"/>
  <c r="B36" i="5"/>
  <c r="C436" i="5"/>
  <c r="C437" i="5"/>
  <c r="D31" i="5"/>
  <c r="D436" i="5"/>
  <c r="D437" i="5"/>
  <c r="E31" i="5"/>
  <c r="E436" i="5"/>
  <c r="E437" i="5"/>
  <c r="F31" i="5"/>
  <c r="F436" i="5"/>
  <c r="F437" i="5"/>
  <c r="G31" i="5"/>
  <c r="G436" i="5"/>
  <c r="G437" i="5"/>
  <c r="H31" i="5"/>
  <c r="H436" i="5"/>
  <c r="H437" i="5"/>
  <c r="I436" i="5"/>
  <c r="I437" i="5"/>
  <c r="J436" i="5"/>
  <c r="J437" i="5"/>
  <c r="K436" i="5"/>
  <c r="K437" i="5"/>
  <c r="L436" i="5"/>
  <c r="L437" i="5"/>
  <c r="M436" i="5"/>
  <c r="M437" i="5"/>
  <c r="C438" i="5"/>
  <c r="D438" i="5"/>
  <c r="E438" i="5"/>
  <c r="F438" i="5"/>
  <c r="G438" i="5"/>
  <c r="H438" i="5"/>
  <c r="I31" i="5"/>
  <c r="I438" i="5"/>
  <c r="J31" i="5"/>
  <c r="J438" i="5"/>
  <c r="K31" i="5"/>
  <c r="K438" i="5"/>
  <c r="L31" i="5"/>
  <c r="L438" i="5"/>
  <c r="M31" i="5"/>
  <c r="M438" i="5"/>
  <c r="C439" i="5"/>
  <c r="D439" i="5"/>
  <c r="E439" i="5"/>
  <c r="F439" i="5"/>
  <c r="G439" i="5"/>
  <c r="H439" i="5"/>
  <c r="I439" i="5"/>
  <c r="J439" i="5"/>
  <c r="K439" i="5"/>
  <c r="L439" i="5"/>
  <c r="M439" i="5"/>
  <c r="C440" i="5"/>
  <c r="D440" i="5"/>
  <c r="E440" i="5"/>
  <c r="F440" i="5"/>
  <c r="G440" i="5"/>
  <c r="H440" i="5"/>
  <c r="I440" i="5"/>
  <c r="J440" i="5"/>
  <c r="K440" i="5"/>
  <c r="L440" i="5"/>
  <c r="M440" i="5"/>
  <c r="B31" i="5"/>
  <c r="B438" i="5"/>
  <c r="B440" i="5"/>
  <c r="B439" i="5"/>
  <c r="B436" i="5"/>
  <c r="B437" i="5"/>
  <c r="C355" i="5"/>
  <c r="C356" i="5"/>
  <c r="D355" i="5"/>
  <c r="D356" i="5"/>
  <c r="E355" i="5"/>
  <c r="E356" i="5"/>
  <c r="F355" i="5"/>
  <c r="F356" i="5"/>
  <c r="G355" i="5"/>
  <c r="G356" i="5"/>
  <c r="H355" i="5"/>
  <c r="H356" i="5"/>
  <c r="I355" i="5"/>
  <c r="I356" i="5"/>
  <c r="J355" i="5"/>
  <c r="J356" i="5"/>
  <c r="K355" i="5"/>
  <c r="K356" i="5"/>
  <c r="L355" i="5"/>
  <c r="L356" i="5"/>
  <c r="M355" i="5"/>
  <c r="M356" i="5"/>
  <c r="C357" i="5"/>
  <c r="D357" i="5"/>
  <c r="E357" i="5"/>
  <c r="F357" i="5"/>
  <c r="G357" i="5"/>
  <c r="H357" i="5"/>
  <c r="I357" i="5"/>
  <c r="J357" i="5"/>
  <c r="K357" i="5"/>
  <c r="L357" i="5"/>
  <c r="M357" i="5"/>
  <c r="C358" i="5"/>
  <c r="D358" i="5"/>
  <c r="E358" i="5"/>
  <c r="F358" i="5"/>
  <c r="G358" i="5"/>
  <c r="H358" i="5"/>
  <c r="I358" i="5"/>
  <c r="J358" i="5"/>
  <c r="K358" i="5"/>
  <c r="L358" i="5"/>
  <c r="M358" i="5"/>
  <c r="C359" i="5"/>
  <c r="D359" i="5"/>
  <c r="E359" i="5"/>
  <c r="F359" i="5"/>
  <c r="G359" i="5"/>
  <c r="H359" i="5"/>
  <c r="I359" i="5"/>
  <c r="J359" i="5"/>
  <c r="K359" i="5"/>
  <c r="L359" i="5"/>
  <c r="M359" i="5"/>
  <c r="B359" i="5"/>
  <c r="B358" i="5"/>
  <c r="B357" i="5"/>
  <c r="B355" i="5"/>
  <c r="B356" i="5"/>
  <c r="C277" i="5"/>
  <c r="D277" i="5"/>
  <c r="E277" i="5"/>
  <c r="F277" i="5"/>
  <c r="G277" i="5"/>
  <c r="H277" i="5"/>
  <c r="I277" i="5"/>
  <c r="J277" i="5"/>
  <c r="K277" i="5"/>
  <c r="L277" i="5"/>
  <c r="M277" i="5"/>
  <c r="B277" i="5"/>
  <c r="C274" i="5"/>
  <c r="C275" i="5"/>
  <c r="D274" i="5"/>
  <c r="D275" i="5"/>
  <c r="E274" i="5"/>
  <c r="E275" i="5"/>
  <c r="F274" i="5"/>
  <c r="F275" i="5"/>
  <c r="G274" i="5"/>
  <c r="G275" i="5"/>
  <c r="H274" i="5"/>
  <c r="H275" i="5"/>
  <c r="I274" i="5"/>
  <c r="I275" i="5"/>
  <c r="J274" i="5"/>
  <c r="J275" i="5"/>
  <c r="K274" i="5"/>
  <c r="K275" i="5"/>
  <c r="L274" i="5"/>
  <c r="L275" i="5"/>
  <c r="M274" i="5"/>
  <c r="M275" i="5"/>
  <c r="C276" i="5"/>
  <c r="D276" i="5"/>
  <c r="E276" i="5"/>
  <c r="F276" i="5"/>
  <c r="G276" i="5"/>
  <c r="H276" i="5"/>
  <c r="I276" i="5"/>
  <c r="J276" i="5"/>
  <c r="K276" i="5"/>
  <c r="L276" i="5"/>
  <c r="M276" i="5"/>
  <c r="C278" i="5"/>
  <c r="D278" i="5"/>
  <c r="E278" i="5"/>
  <c r="F278" i="5"/>
  <c r="G278" i="5"/>
  <c r="H278" i="5"/>
  <c r="I278" i="5"/>
  <c r="J278" i="5"/>
  <c r="K278" i="5"/>
  <c r="L278" i="5"/>
  <c r="M278" i="5"/>
  <c r="B278" i="5"/>
  <c r="B276" i="5"/>
  <c r="B274" i="5"/>
  <c r="B275" i="5"/>
  <c r="E193" i="5"/>
  <c r="E194" i="5"/>
  <c r="F193" i="5"/>
  <c r="F194" i="5"/>
  <c r="G193" i="5"/>
  <c r="G194" i="5"/>
  <c r="H193" i="5"/>
  <c r="H194" i="5"/>
  <c r="I193" i="5"/>
  <c r="I194" i="5"/>
  <c r="J193" i="5"/>
  <c r="J194" i="5"/>
  <c r="K193" i="5"/>
  <c r="K194" i="5"/>
  <c r="L193" i="5"/>
  <c r="L194" i="5"/>
  <c r="M193" i="5"/>
  <c r="M194" i="5"/>
  <c r="E195" i="5"/>
  <c r="F195" i="5"/>
  <c r="G195" i="5"/>
  <c r="H195" i="5"/>
  <c r="I195" i="5"/>
  <c r="J195" i="5"/>
  <c r="K195" i="5"/>
  <c r="L195" i="5"/>
  <c r="M195" i="5"/>
  <c r="E196" i="5"/>
  <c r="F196" i="5"/>
  <c r="G196" i="5"/>
  <c r="H196" i="5"/>
  <c r="I196" i="5"/>
  <c r="J196" i="5"/>
  <c r="K196" i="5"/>
  <c r="L196" i="5"/>
  <c r="M196" i="5"/>
  <c r="E197" i="5"/>
  <c r="F197" i="5"/>
  <c r="G197" i="5"/>
  <c r="H197" i="5"/>
  <c r="I197" i="5"/>
  <c r="J197" i="5"/>
  <c r="K197" i="5"/>
  <c r="L197" i="5"/>
  <c r="M197" i="5"/>
  <c r="D197" i="5"/>
  <c r="C197" i="5"/>
  <c r="D196" i="5"/>
  <c r="C196" i="5"/>
  <c r="D195" i="5"/>
  <c r="C195" i="5"/>
  <c r="D193" i="5"/>
  <c r="D194" i="5"/>
  <c r="B195" i="5"/>
  <c r="B197" i="5"/>
  <c r="B196" i="5"/>
  <c r="B193" i="5"/>
  <c r="B194" i="5"/>
  <c r="C112" i="5"/>
  <c r="C113" i="5"/>
  <c r="D112" i="5"/>
  <c r="D113" i="5"/>
  <c r="E112" i="5"/>
  <c r="E113" i="5"/>
  <c r="F112" i="5"/>
  <c r="F113" i="5"/>
  <c r="G112" i="5"/>
  <c r="G113" i="5"/>
  <c r="H112" i="5"/>
  <c r="H113" i="5"/>
  <c r="I112" i="5"/>
  <c r="I113" i="5"/>
  <c r="J112" i="5"/>
  <c r="J113" i="5"/>
  <c r="K112" i="5"/>
  <c r="K113" i="5"/>
  <c r="L112" i="5"/>
  <c r="L113" i="5"/>
  <c r="M112" i="5"/>
  <c r="M113" i="5"/>
  <c r="C114" i="5"/>
  <c r="D114" i="5"/>
  <c r="E114" i="5"/>
  <c r="F114" i="5"/>
  <c r="G114" i="5"/>
  <c r="H114" i="5"/>
  <c r="I114" i="5"/>
  <c r="J114" i="5"/>
  <c r="K114" i="5"/>
  <c r="L114" i="5"/>
  <c r="M114" i="5"/>
  <c r="C115" i="5"/>
  <c r="D115" i="5"/>
  <c r="E115" i="5"/>
  <c r="F115" i="5"/>
  <c r="G115" i="5"/>
  <c r="H115" i="5"/>
  <c r="I115" i="5"/>
  <c r="J115" i="5"/>
  <c r="K115" i="5"/>
  <c r="L115" i="5"/>
  <c r="M115" i="5"/>
  <c r="C116" i="5"/>
  <c r="D116" i="5"/>
  <c r="E116" i="5"/>
  <c r="F116" i="5"/>
  <c r="G116" i="5"/>
  <c r="H116" i="5"/>
  <c r="I116" i="5"/>
  <c r="J116" i="5"/>
  <c r="K116" i="5"/>
  <c r="L116" i="5"/>
  <c r="M116" i="5"/>
  <c r="B115" i="5"/>
  <c r="B116" i="5"/>
  <c r="B114" i="5"/>
  <c r="B112" i="5"/>
  <c r="B113" i="5"/>
  <c r="B35" i="5"/>
  <c r="C32" i="5"/>
  <c r="D32" i="5"/>
  <c r="E32" i="5"/>
  <c r="F32" i="5"/>
  <c r="G32" i="5"/>
  <c r="H32" i="5"/>
  <c r="I32" i="5"/>
  <c r="J32" i="5"/>
  <c r="K32" i="5"/>
  <c r="L32" i="5"/>
  <c r="M32" i="5"/>
  <c r="C33" i="5"/>
  <c r="D33" i="5"/>
  <c r="E33" i="5"/>
  <c r="F33" i="5"/>
  <c r="G33" i="5"/>
  <c r="H33" i="5"/>
  <c r="I33" i="5"/>
  <c r="J33" i="5"/>
  <c r="K33" i="5"/>
  <c r="L33" i="5"/>
  <c r="M33" i="5"/>
  <c r="C34" i="5"/>
  <c r="D34" i="5"/>
  <c r="E34" i="5"/>
  <c r="F34" i="5"/>
  <c r="G34" i="5"/>
  <c r="H34" i="5"/>
  <c r="I34" i="5"/>
  <c r="J34" i="5"/>
  <c r="K34" i="5"/>
  <c r="L34" i="5"/>
  <c r="M34" i="5"/>
  <c r="C35" i="5"/>
  <c r="D35" i="5"/>
  <c r="E35" i="5"/>
  <c r="F35" i="5"/>
  <c r="G35" i="5"/>
  <c r="H35" i="5"/>
  <c r="I35" i="5"/>
  <c r="J35" i="5"/>
  <c r="K35" i="5"/>
  <c r="L35" i="5"/>
  <c r="M35" i="5"/>
  <c r="B34" i="5"/>
  <c r="B33" i="5"/>
  <c r="B32" i="5"/>
  <c r="T179" i="5"/>
  <c r="U179" i="5"/>
  <c r="V179" i="5"/>
  <c r="W179" i="5"/>
  <c r="X179" i="5"/>
  <c r="S179" i="5"/>
  <c r="S167" i="5"/>
  <c r="S171" i="5"/>
  <c r="S168" i="5"/>
  <c r="S172" i="5"/>
  <c r="O66" i="11"/>
  <c r="S169" i="5"/>
  <c r="S173" i="5"/>
  <c r="O67" i="11"/>
  <c r="S174" i="5"/>
  <c r="S175" i="5"/>
  <c r="S176" i="5"/>
  <c r="O68" i="11"/>
  <c r="S177" i="5"/>
  <c r="S178" i="5"/>
  <c r="O69" i="11"/>
  <c r="O70" i="11"/>
  <c r="T169" i="5"/>
  <c r="T173" i="5"/>
  <c r="U169" i="5"/>
  <c r="U173" i="5"/>
  <c r="V169" i="5"/>
  <c r="V173" i="5"/>
  <c r="W169" i="5"/>
  <c r="W173" i="5"/>
  <c r="X169" i="5"/>
  <c r="X173" i="5"/>
  <c r="T491" i="5"/>
  <c r="T495" i="5"/>
  <c r="U491" i="5"/>
  <c r="U495" i="5"/>
  <c r="V491" i="5"/>
  <c r="V495" i="5"/>
  <c r="W491" i="5"/>
  <c r="W495" i="5"/>
  <c r="X491" i="5"/>
  <c r="X495" i="5"/>
  <c r="T492" i="5"/>
  <c r="T496" i="5"/>
  <c r="U492" i="5"/>
  <c r="U496" i="5"/>
  <c r="V492" i="5"/>
  <c r="V496" i="5"/>
  <c r="W492" i="5"/>
  <c r="W496" i="5"/>
  <c r="X492" i="5"/>
  <c r="X496" i="5"/>
  <c r="T493" i="5"/>
  <c r="T497" i="5"/>
  <c r="U493" i="5"/>
  <c r="U497" i="5"/>
  <c r="V493" i="5"/>
  <c r="V497" i="5"/>
  <c r="W493" i="5"/>
  <c r="W497" i="5"/>
  <c r="X493" i="5"/>
  <c r="X497" i="5"/>
  <c r="T470" i="5"/>
  <c r="U470" i="5"/>
  <c r="T498" i="5"/>
  <c r="V470" i="5"/>
  <c r="U498" i="5"/>
  <c r="W470" i="5"/>
  <c r="V498" i="5"/>
  <c r="X470" i="5"/>
  <c r="W498" i="5"/>
  <c r="Y470" i="5"/>
  <c r="X498" i="5"/>
  <c r="Z470" i="5"/>
  <c r="AA470" i="5"/>
  <c r="AB470" i="5"/>
  <c r="AC470" i="5"/>
  <c r="T499" i="5"/>
  <c r="U499" i="5"/>
  <c r="V499" i="5"/>
  <c r="W499" i="5"/>
  <c r="X499" i="5"/>
  <c r="T500" i="5"/>
  <c r="U500" i="5"/>
  <c r="V500" i="5"/>
  <c r="W500" i="5"/>
  <c r="X500" i="5"/>
  <c r="T501" i="5"/>
  <c r="U501" i="5"/>
  <c r="V501" i="5"/>
  <c r="W501" i="5"/>
  <c r="X501" i="5"/>
  <c r="T502" i="5"/>
  <c r="U502" i="5"/>
  <c r="V502" i="5"/>
  <c r="W502" i="5"/>
  <c r="X502" i="5"/>
  <c r="T503" i="5"/>
  <c r="U503" i="5"/>
  <c r="V503" i="5"/>
  <c r="W503" i="5"/>
  <c r="X503" i="5"/>
  <c r="S503" i="5"/>
  <c r="S492" i="5"/>
  <c r="S502" i="5"/>
  <c r="S491" i="5"/>
  <c r="S501" i="5"/>
  <c r="S500" i="5"/>
  <c r="S499" i="5"/>
  <c r="S498" i="5"/>
  <c r="S493" i="5"/>
  <c r="S497" i="5"/>
  <c r="S496" i="5"/>
  <c r="S495" i="5"/>
  <c r="T329" i="5"/>
  <c r="T333" i="5"/>
  <c r="U329" i="5"/>
  <c r="U333" i="5"/>
  <c r="V329" i="5"/>
  <c r="V333" i="5"/>
  <c r="W329" i="5"/>
  <c r="W333" i="5"/>
  <c r="X329" i="5"/>
  <c r="X333" i="5"/>
  <c r="T330" i="5"/>
  <c r="T334" i="5"/>
  <c r="U330" i="5"/>
  <c r="U334" i="5"/>
  <c r="V330" i="5"/>
  <c r="V334" i="5"/>
  <c r="W330" i="5"/>
  <c r="W334" i="5"/>
  <c r="X330" i="5"/>
  <c r="X334" i="5"/>
  <c r="T331" i="5"/>
  <c r="T335" i="5"/>
  <c r="U331" i="5"/>
  <c r="U335" i="5"/>
  <c r="V331" i="5"/>
  <c r="V335" i="5"/>
  <c r="W331" i="5"/>
  <c r="W335" i="5"/>
  <c r="X331" i="5"/>
  <c r="X335" i="5"/>
  <c r="T336" i="5"/>
  <c r="U336" i="5"/>
  <c r="V336" i="5"/>
  <c r="W336" i="5"/>
  <c r="X336" i="5"/>
  <c r="T337" i="5"/>
  <c r="U337" i="5"/>
  <c r="V337" i="5"/>
  <c r="W337" i="5"/>
  <c r="X337" i="5"/>
  <c r="T338" i="5"/>
  <c r="U338" i="5"/>
  <c r="V338" i="5"/>
  <c r="W338" i="5"/>
  <c r="X338" i="5"/>
  <c r="T339" i="5"/>
  <c r="U339" i="5"/>
  <c r="V339" i="5"/>
  <c r="W339" i="5"/>
  <c r="X339" i="5"/>
  <c r="T340" i="5"/>
  <c r="U340" i="5"/>
  <c r="V340" i="5"/>
  <c r="W340" i="5"/>
  <c r="X340" i="5"/>
  <c r="T341" i="5"/>
  <c r="U341" i="5"/>
  <c r="V341" i="5"/>
  <c r="W341" i="5"/>
  <c r="X341" i="5"/>
  <c r="S338" i="5"/>
  <c r="T410" i="5"/>
  <c r="T414" i="5"/>
  <c r="U410" i="5"/>
  <c r="U414" i="5"/>
  <c r="V410" i="5"/>
  <c r="V414" i="5"/>
  <c r="W410" i="5"/>
  <c r="W414" i="5"/>
  <c r="X410" i="5"/>
  <c r="X414" i="5"/>
  <c r="T411" i="5"/>
  <c r="T415" i="5"/>
  <c r="U411" i="5"/>
  <c r="U415" i="5"/>
  <c r="V411" i="5"/>
  <c r="V415" i="5"/>
  <c r="W411" i="5"/>
  <c r="W415" i="5"/>
  <c r="X411" i="5"/>
  <c r="X415" i="5"/>
  <c r="T412" i="5"/>
  <c r="T416" i="5"/>
  <c r="U412" i="5"/>
  <c r="U416" i="5"/>
  <c r="V412" i="5"/>
  <c r="V416" i="5"/>
  <c r="W412" i="5"/>
  <c r="W416" i="5"/>
  <c r="X412" i="5"/>
  <c r="X416" i="5"/>
  <c r="T417" i="5"/>
  <c r="U417" i="5"/>
  <c r="V417" i="5"/>
  <c r="W417" i="5"/>
  <c r="X417" i="5"/>
  <c r="T418" i="5"/>
  <c r="U418" i="5"/>
  <c r="V418" i="5"/>
  <c r="W418" i="5"/>
  <c r="X418" i="5"/>
  <c r="T419" i="5"/>
  <c r="U419" i="5"/>
  <c r="V419" i="5"/>
  <c r="W419" i="5"/>
  <c r="X419" i="5"/>
  <c r="T420" i="5"/>
  <c r="U420" i="5"/>
  <c r="V420" i="5"/>
  <c r="W420" i="5"/>
  <c r="X420" i="5"/>
  <c r="T421" i="5"/>
  <c r="U421" i="5"/>
  <c r="V421" i="5"/>
  <c r="W421" i="5"/>
  <c r="X421" i="5"/>
  <c r="T422" i="5"/>
  <c r="U422" i="5"/>
  <c r="V422" i="5"/>
  <c r="W422" i="5"/>
  <c r="X422" i="5"/>
  <c r="S422" i="5"/>
  <c r="S411" i="5"/>
  <c r="S421" i="5"/>
  <c r="S410" i="5"/>
  <c r="S420" i="5"/>
  <c r="S419" i="5"/>
  <c r="S418" i="5"/>
  <c r="S417" i="5"/>
  <c r="S412" i="5"/>
  <c r="S416" i="5"/>
  <c r="S415" i="5"/>
  <c r="S414" i="5"/>
  <c r="S341" i="5"/>
  <c r="S330" i="5"/>
  <c r="S340" i="5"/>
  <c r="S329" i="5"/>
  <c r="S339" i="5"/>
  <c r="S337" i="5"/>
  <c r="S336" i="5"/>
  <c r="S331" i="5"/>
  <c r="S335" i="5"/>
  <c r="S334" i="5"/>
  <c r="S333" i="5"/>
  <c r="T248" i="5"/>
  <c r="T252" i="5"/>
  <c r="U248" i="5"/>
  <c r="U252" i="5"/>
  <c r="V248" i="5"/>
  <c r="V252" i="5"/>
  <c r="W248" i="5"/>
  <c r="W252" i="5"/>
  <c r="X248" i="5"/>
  <c r="X252" i="5"/>
  <c r="T249" i="5"/>
  <c r="T253" i="5"/>
  <c r="U249" i="5"/>
  <c r="U253" i="5"/>
  <c r="V249" i="5"/>
  <c r="V253" i="5"/>
  <c r="W249" i="5"/>
  <c r="W253" i="5"/>
  <c r="X249" i="5"/>
  <c r="X253" i="5"/>
  <c r="T250" i="5"/>
  <c r="T254" i="5"/>
  <c r="U250" i="5"/>
  <c r="U254" i="5"/>
  <c r="V250" i="5"/>
  <c r="V254" i="5"/>
  <c r="W250" i="5"/>
  <c r="W254" i="5"/>
  <c r="X250" i="5"/>
  <c r="X254" i="5"/>
  <c r="T255" i="5"/>
  <c r="U255" i="5"/>
  <c r="V255" i="5"/>
  <c r="W255" i="5"/>
  <c r="X255" i="5"/>
  <c r="T256" i="5"/>
  <c r="U256" i="5"/>
  <c r="V256" i="5"/>
  <c r="W256" i="5"/>
  <c r="X256" i="5"/>
  <c r="T257" i="5"/>
  <c r="U257" i="5"/>
  <c r="V257" i="5"/>
  <c r="W257" i="5"/>
  <c r="X257" i="5"/>
  <c r="T258" i="5"/>
  <c r="U258" i="5"/>
  <c r="V258" i="5"/>
  <c r="W258" i="5"/>
  <c r="X258" i="5"/>
  <c r="T259" i="5"/>
  <c r="U259" i="5"/>
  <c r="V259" i="5"/>
  <c r="W259" i="5"/>
  <c r="X259" i="5"/>
  <c r="T260" i="5"/>
  <c r="U260" i="5"/>
  <c r="V260" i="5"/>
  <c r="W260" i="5"/>
  <c r="X260" i="5"/>
  <c r="S260" i="5"/>
  <c r="S249" i="5"/>
  <c r="S259" i="5"/>
  <c r="S248" i="5"/>
  <c r="S258" i="5"/>
  <c r="S257" i="5"/>
  <c r="S256" i="5"/>
  <c r="S255" i="5"/>
  <c r="S250" i="5"/>
  <c r="S254" i="5"/>
  <c r="S253" i="5"/>
  <c r="S252" i="5"/>
  <c r="U167" i="5"/>
  <c r="U171" i="5"/>
  <c r="V167" i="5"/>
  <c r="V171" i="5"/>
  <c r="W167" i="5"/>
  <c r="W171" i="5"/>
  <c r="X167" i="5"/>
  <c r="X171" i="5"/>
  <c r="U168" i="5"/>
  <c r="U172" i="5"/>
  <c r="V168" i="5"/>
  <c r="V172" i="5"/>
  <c r="W168" i="5"/>
  <c r="W172" i="5"/>
  <c r="X168" i="5"/>
  <c r="X172" i="5"/>
  <c r="U174" i="5"/>
  <c r="V174" i="5"/>
  <c r="W174" i="5"/>
  <c r="X174" i="5"/>
  <c r="U175" i="5"/>
  <c r="V175" i="5"/>
  <c r="W175" i="5"/>
  <c r="X175" i="5"/>
  <c r="U176" i="5"/>
  <c r="V176" i="5"/>
  <c r="W176" i="5"/>
  <c r="X176" i="5"/>
  <c r="U177" i="5"/>
  <c r="V177" i="5"/>
  <c r="W177" i="5"/>
  <c r="X177" i="5"/>
  <c r="U178" i="5"/>
  <c r="V178" i="5"/>
  <c r="W178" i="5"/>
  <c r="X178" i="5"/>
  <c r="T155" i="5"/>
  <c r="T167" i="5"/>
  <c r="T171" i="5"/>
  <c r="C162" i="5"/>
  <c r="T156" i="5"/>
  <c r="T168" i="5"/>
  <c r="T172" i="5"/>
  <c r="C163" i="5"/>
  <c r="T157" i="5"/>
  <c r="T174" i="5"/>
  <c r="T175" i="5"/>
  <c r="T176" i="5"/>
  <c r="T177" i="5"/>
  <c r="T178" i="5"/>
  <c r="B162" i="5"/>
  <c r="S156" i="5"/>
  <c r="S155" i="5"/>
  <c r="B163" i="5"/>
  <c r="S157" i="5"/>
  <c r="B81" i="5"/>
  <c r="C81" i="5"/>
  <c r="B82" i="5"/>
  <c r="C82" i="5"/>
  <c r="X74" i="5"/>
  <c r="S64" i="5"/>
  <c r="T64" i="5"/>
  <c r="U64" i="5"/>
  <c r="V64" i="5"/>
  <c r="W64" i="5"/>
  <c r="X64" i="5"/>
  <c r="Y64" i="5"/>
  <c r="Z64" i="5"/>
  <c r="AA64" i="5"/>
  <c r="AB64" i="5"/>
  <c r="AC64" i="5"/>
  <c r="AD64" i="5"/>
  <c r="G81" i="5"/>
  <c r="X75" i="5"/>
  <c r="G82" i="5"/>
  <c r="X76" i="5"/>
  <c r="T69" i="1"/>
  <c r="X155" i="5"/>
  <c r="G162" i="5"/>
  <c r="X156" i="5"/>
  <c r="G163" i="5"/>
  <c r="X157" i="5"/>
  <c r="T69" i="11"/>
  <c r="X236" i="5"/>
  <c r="G243" i="5"/>
  <c r="X237" i="5"/>
  <c r="G244" i="5"/>
  <c r="X238" i="5"/>
  <c r="T71" i="12"/>
  <c r="X317" i="5"/>
  <c r="G324" i="5"/>
  <c r="X318" i="5"/>
  <c r="G325" i="5"/>
  <c r="X319" i="5"/>
  <c r="T71" i="13"/>
  <c r="X398" i="5"/>
  <c r="G405" i="5"/>
  <c r="X399" i="5"/>
  <c r="G406" i="5"/>
  <c r="X400" i="5"/>
  <c r="T71" i="14"/>
  <c r="X479" i="5"/>
  <c r="G486" i="5"/>
  <c r="X480" i="5"/>
  <c r="G487" i="5"/>
  <c r="X481" i="5"/>
  <c r="T71" i="15"/>
  <c r="T120" i="16"/>
  <c r="T68" i="1"/>
  <c r="T68" i="11"/>
  <c r="T70" i="12"/>
  <c r="T70" i="13"/>
  <c r="T70" i="14"/>
  <c r="T70" i="15"/>
  <c r="T119" i="16"/>
  <c r="T67" i="1"/>
  <c r="T67" i="11"/>
  <c r="T69" i="12"/>
  <c r="T69" i="13"/>
  <c r="T69" i="14"/>
  <c r="T69" i="15"/>
  <c r="T118" i="16"/>
  <c r="T66" i="1"/>
  <c r="T66" i="11"/>
  <c r="T68" i="12"/>
  <c r="T68" i="13"/>
  <c r="T68" i="14"/>
  <c r="T68" i="15"/>
  <c r="T117" i="16"/>
  <c r="L8" i="7"/>
  <c r="L9" i="7"/>
  <c r="L10" i="7"/>
  <c r="L11" i="7"/>
  <c r="L12" i="7"/>
  <c r="L8" i="8"/>
  <c r="L9" i="8"/>
  <c r="L10" i="8"/>
  <c r="L11" i="8"/>
  <c r="L12" i="8"/>
  <c r="L8" i="9"/>
  <c r="L9" i="9"/>
  <c r="L10" i="9"/>
  <c r="L11" i="9"/>
  <c r="L12" i="9"/>
  <c r="L8" i="10"/>
  <c r="L9" i="10"/>
  <c r="L10" i="10"/>
  <c r="L11" i="10"/>
  <c r="L12" i="10"/>
  <c r="L8" i="4"/>
  <c r="L9" i="4"/>
  <c r="L10" i="4"/>
  <c r="L11" i="4"/>
  <c r="L12" i="4"/>
  <c r="C12" i="7"/>
  <c r="D12" i="7"/>
  <c r="E12" i="7"/>
  <c r="F12" i="7"/>
  <c r="G12" i="7"/>
  <c r="H12" i="7"/>
  <c r="I12" i="7"/>
  <c r="J12" i="7"/>
  <c r="K12" i="7"/>
  <c r="C12" i="8"/>
  <c r="D12" i="8"/>
  <c r="E12" i="8"/>
  <c r="F12" i="8"/>
  <c r="G12" i="8"/>
  <c r="H12" i="8"/>
  <c r="I12" i="8"/>
  <c r="J12" i="8"/>
  <c r="K12" i="8"/>
  <c r="C12" i="9"/>
  <c r="D12" i="9"/>
  <c r="E12" i="9"/>
  <c r="F12" i="9"/>
  <c r="G12" i="9"/>
  <c r="H12" i="9"/>
  <c r="I12" i="9"/>
  <c r="J12" i="9"/>
  <c r="K12" i="9"/>
  <c r="C12" i="10"/>
  <c r="D12" i="10"/>
  <c r="E12" i="10"/>
  <c r="F12" i="10"/>
  <c r="G12" i="10"/>
  <c r="H12" i="10"/>
  <c r="I12" i="10"/>
  <c r="J12" i="10"/>
  <c r="K12" i="10"/>
  <c r="C12" i="4"/>
  <c r="D12" i="4"/>
  <c r="E12" i="4"/>
  <c r="F12" i="4"/>
  <c r="G12" i="4"/>
  <c r="H12" i="4"/>
  <c r="I12" i="4"/>
  <c r="J12" i="4"/>
  <c r="K12" i="4"/>
  <c r="B12" i="7"/>
  <c r="B12" i="8"/>
  <c r="B12" i="9"/>
  <c r="B12" i="10"/>
  <c r="B12" i="4"/>
  <c r="H29" i="7"/>
  <c r="I29" i="7"/>
  <c r="K29" i="7"/>
  <c r="H29" i="8"/>
  <c r="K29" i="8"/>
  <c r="L22" i="9"/>
  <c r="G29" i="9"/>
  <c r="I29" i="9"/>
  <c r="L22" i="10"/>
  <c r="I29" i="10"/>
  <c r="L22" i="4"/>
  <c r="G29" i="4"/>
  <c r="J29" i="4"/>
  <c r="L56" i="7"/>
  <c r="L56" i="8"/>
  <c r="L56" i="9"/>
  <c r="L56" i="10"/>
  <c r="L56" i="4"/>
  <c r="L48" i="7"/>
  <c r="L49" i="7"/>
  <c r="L50" i="7"/>
  <c r="L51" i="7"/>
  <c r="L52" i="7"/>
  <c r="L53" i="7"/>
  <c r="L48" i="8"/>
  <c r="L49" i="8"/>
  <c r="L50" i="8"/>
  <c r="L51" i="8"/>
  <c r="L52" i="8"/>
  <c r="L53" i="8"/>
  <c r="L48" i="9"/>
  <c r="L49" i="9"/>
  <c r="L50" i="9"/>
  <c r="L51" i="9"/>
  <c r="L52" i="9"/>
  <c r="L53" i="9"/>
  <c r="L48" i="10"/>
  <c r="L49" i="10"/>
  <c r="L50" i="10"/>
  <c r="L51" i="10"/>
  <c r="L52" i="10"/>
  <c r="L53" i="10"/>
  <c r="L48" i="4"/>
  <c r="L49" i="4"/>
  <c r="L50" i="4"/>
  <c r="L51" i="4"/>
  <c r="L52" i="4"/>
  <c r="L53" i="4"/>
  <c r="L47" i="7"/>
  <c r="L47" i="8"/>
  <c r="L47" i="9"/>
  <c r="L47" i="10"/>
  <c r="L47" i="4"/>
  <c r="L41" i="7"/>
  <c r="L42" i="7"/>
  <c r="L43" i="7"/>
  <c r="L44" i="7"/>
  <c r="L41" i="8"/>
  <c r="L42" i="8"/>
  <c r="L43" i="8"/>
  <c r="L44" i="8"/>
  <c r="L41" i="9"/>
  <c r="L42" i="9"/>
  <c r="L43" i="9"/>
  <c r="L44" i="9"/>
  <c r="L41" i="10"/>
  <c r="L42" i="10"/>
  <c r="L43" i="10"/>
  <c r="L44" i="10"/>
  <c r="L41" i="4"/>
  <c r="L42" i="4"/>
  <c r="L43" i="4"/>
  <c r="L44" i="4"/>
  <c r="L40" i="7"/>
  <c r="L40" i="8"/>
  <c r="L40" i="9"/>
  <c r="L40" i="10"/>
  <c r="L40" i="4"/>
  <c r="L37" i="7"/>
  <c r="L37" i="8"/>
  <c r="L37" i="9"/>
  <c r="L37" i="10"/>
  <c r="L37" i="4"/>
  <c r="L36" i="7"/>
  <c r="L36" i="8"/>
  <c r="L36" i="9"/>
  <c r="L36" i="10"/>
  <c r="L36" i="4"/>
  <c r="L33" i="7"/>
  <c r="L33" i="8"/>
  <c r="L33" i="9"/>
  <c r="L33" i="10"/>
  <c r="L33" i="4"/>
  <c r="L32" i="7"/>
  <c r="L32" i="8"/>
  <c r="L32" i="9"/>
  <c r="L32" i="10"/>
  <c r="L32" i="4"/>
  <c r="L23" i="7"/>
  <c r="L24" i="7"/>
  <c r="L25" i="7"/>
  <c r="L26" i="7"/>
  <c r="L27" i="7"/>
  <c r="L28" i="7"/>
  <c r="L23" i="8"/>
  <c r="L24" i="8"/>
  <c r="L25" i="8"/>
  <c r="L26" i="8"/>
  <c r="L27" i="8"/>
  <c r="L28" i="8"/>
  <c r="L23" i="9"/>
  <c r="L24" i="9"/>
  <c r="L25" i="9"/>
  <c r="L26" i="9"/>
  <c r="L27" i="9"/>
  <c r="L28" i="9"/>
  <c r="L23" i="10"/>
  <c r="L24" i="10"/>
  <c r="L25" i="10"/>
  <c r="L26" i="10"/>
  <c r="L27" i="10"/>
  <c r="L28" i="10"/>
  <c r="L23" i="4"/>
  <c r="L24" i="4"/>
  <c r="L25" i="4"/>
  <c r="L26" i="4"/>
  <c r="L27" i="4"/>
  <c r="L28" i="4"/>
  <c r="L22" i="8"/>
  <c r="L15" i="7"/>
  <c r="L16" i="7"/>
  <c r="L17" i="7"/>
  <c r="L18" i="7"/>
  <c r="L19" i="7"/>
  <c r="L15" i="8"/>
  <c r="L16" i="8"/>
  <c r="L17" i="8"/>
  <c r="L18" i="8"/>
  <c r="L19" i="8"/>
  <c r="L15" i="9"/>
  <c r="L16" i="9"/>
  <c r="L17" i="9"/>
  <c r="L18" i="9"/>
  <c r="L19" i="9"/>
  <c r="L15" i="10"/>
  <c r="L16" i="10"/>
  <c r="L17" i="10"/>
  <c r="L18" i="10"/>
  <c r="L19" i="10"/>
  <c r="L15" i="4"/>
  <c r="L16" i="4"/>
  <c r="L17" i="4"/>
  <c r="L18" i="4"/>
  <c r="L19" i="4"/>
  <c r="L14" i="7"/>
  <c r="L14" i="8"/>
  <c r="L14" i="9"/>
  <c r="L14" i="10"/>
  <c r="L14" i="4"/>
  <c r="G54" i="7"/>
  <c r="H54" i="7"/>
  <c r="I54" i="7"/>
  <c r="J54" i="7"/>
  <c r="K54" i="7"/>
  <c r="G54" i="8"/>
  <c r="H54" i="8"/>
  <c r="I54" i="8"/>
  <c r="J54" i="8"/>
  <c r="K54" i="8"/>
  <c r="G54" i="9"/>
  <c r="H54" i="9"/>
  <c r="I54" i="9"/>
  <c r="J54" i="9"/>
  <c r="K54" i="9"/>
  <c r="G54" i="10"/>
  <c r="H54" i="10"/>
  <c r="I54" i="10"/>
  <c r="J54" i="10"/>
  <c r="K54" i="10"/>
  <c r="G54" i="4"/>
  <c r="H54" i="4"/>
  <c r="I54" i="4"/>
  <c r="J54" i="4"/>
  <c r="K54" i="4"/>
  <c r="G45" i="7"/>
  <c r="H45" i="7"/>
  <c r="I45" i="7"/>
  <c r="J45" i="7"/>
  <c r="K45" i="7"/>
  <c r="G45" i="8"/>
  <c r="H45" i="8"/>
  <c r="I45" i="8"/>
  <c r="J45" i="8"/>
  <c r="K45" i="8"/>
  <c r="G45" i="9"/>
  <c r="H45" i="9"/>
  <c r="I45" i="9"/>
  <c r="J45" i="9"/>
  <c r="K45" i="9"/>
  <c r="G45" i="10"/>
  <c r="H45" i="10"/>
  <c r="I45" i="10"/>
  <c r="J45" i="10"/>
  <c r="K45" i="10"/>
  <c r="G45" i="4"/>
  <c r="H45" i="4"/>
  <c r="I45" i="4"/>
  <c r="J45" i="4"/>
  <c r="K45" i="4"/>
  <c r="G38" i="7"/>
  <c r="H38" i="7"/>
  <c r="I38" i="7"/>
  <c r="J38" i="7"/>
  <c r="K38" i="7"/>
  <c r="G38" i="8"/>
  <c r="H38" i="8"/>
  <c r="I38" i="8"/>
  <c r="J38" i="8"/>
  <c r="K38" i="8"/>
  <c r="G38" i="9"/>
  <c r="H38" i="9"/>
  <c r="I38" i="9"/>
  <c r="J38" i="9"/>
  <c r="K38" i="9"/>
  <c r="G38" i="10"/>
  <c r="H38" i="10"/>
  <c r="I38" i="10"/>
  <c r="J38" i="10"/>
  <c r="K38" i="10"/>
  <c r="G38" i="4"/>
  <c r="H38" i="4"/>
  <c r="I38" i="4"/>
  <c r="J38" i="4"/>
  <c r="K38" i="4"/>
  <c r="G34" i="7"/>
  <c r="H34" i="7"/>
  <c r="I34" i="7"/>
  <c r="J34" i="7"/>
  <c r="K34" i="7"/>
  <c r="G34" i="8"/>
  <c r="H34" i="8"/>
  <c r="I34" i="8"/>
  <c r="J34" i="8"/>
  <c r="K34" i="8"/>
  <c r="G34" i="9"/>
  <c r="H34" i="9"/>
  <c r="I34" i="9"/>
  <c r="J34" i="9"/>
  <c r="K34" i="9"/>
  <c r="G34" i="10"/>
  <c r="H34" i="10"/>
  <c r="I34" i="10"/>
  <c r="J34" i="10"/>
  <c r="K34" i="10"/>
  <c r="G34" i="4"/>
  <c r="H34" i="4"/>
  <c r="I34" i="4"/>
  <c r="J34" i="4"/>
  <c r="K34" i="4"/>
  <c r="G29" i="7"/>
  <c r="J29" i="7"/>
  <c r="G29" i="8"/>
  <c r="I29" i="8"/>
  <c r="J29" i="8"/>
  <c r="H29" i="9"/>
  <c r="J29" i="9"/>
  <c r="K29" i="9"/>
  <c r="G29" i="10"/>
  <c r="H29" i="10"/>
  <c r="J29" i="10"/>
  <c r="K29" i="10"/>
  <c r="H29" i="4"/>
  <c r="I29" i="4"/>
  <c r="K29" i="4"/>
  <c r="G20" i="7"/>
  <c r="H20" i="7"/>
  <c r="I20" i="7"/>
  <c r="J20" i="7"/>
  <c r="K20" i="7"/>
  <c r="G20" i="8"/>
  <c r="H20" i="8"/>
  <c r="I20" i="8"/>
  <c r="J20" i="8"/>
  <c r="K20" i="8"/>
  <c r="G20" i="9"/>
  <c r="H20" i="9"/>
  <c r="I20" i="9"/>
  <c r="J20" i="9"/>
  <c r="K20" i="9"/>
  <c r="G20" i="10"/>
  <c r="H20" i="10"/>
  <c r="I20" i="10"/>
  <c r="J20" i="10"/>
  <c r="K20" i="10"/>
  <c r="G20" i="4"/>
  <c r="H20" i="4"/>
  <c r="I20" i="4"/>
  <c r="J20" i="4"/>
  <c r="K20" i="4"/>
  <c r="B5" i="1"/>
  <c r="B6" i="1"/>
  <c r="C5" i="1"/>
  <c r="C6" i="1"/>
  <c r="D5" i="1"/>
  <c r="D6" i="1"/>
  <c r="E5" i="1"/>
  <c r="E6" i="1"/>
  <c r="F5" i="1"/>
  <c r="F6" i="1"/>
  <c r="G5" i="1"/>
  <c r="G5" i="7"/>
  <c r="G6" i="1"/>
  <c r="H5" i="1"/>
  <c r="H5" i="7"/>
  <c r="H6" i="1"/>
  <c r="I5" i="1"/>
  <c r="I5" i="7"/>
  <c r="I6" i="1"/>
  <c r="J5" i="1"/>
  <c r="J5" i="7"/>
  <c r="J6" i="1"/>
  <c r="K5" i="1"/>
  <c r="K5" i="7"/>
  <c r="G6" i="7"/>
  <c r="H6" i="7"/>
  <c r="I6" i="7"/>
  <c r="J6" i="7"/>
  <c r="K6" i="1"/>
  <c r="K6" i="7"/>
  <c r="G5" i="8"/>
  <c r="H5" i="8"/>
  <c r="I5" i="8"/>
  <c r="J5" i="8"/>
  <c r="K5" i="8"/>
  <c r="G6" i="8"/>
  <c r="H6" i="8"/>
  <c r="I6" i="8"/>
  <c r="J6" i="8"/>
  <c r="K6" i="8"/>
  <c r="G5" i="9"/>
  <c r="H5" i="9"/>
  <c r="I5" i="9"/>
  <c r="J5" i="9"/>
  <c r="K5" i="9"/>
  <c r="G6" i="9"/>
  <c r="H6" i="9"/>
  <c r="I6" i="9"/>
  <c r="J6" i="9"/>
  <c r="K6" i="9"/>
  <c r="G5" i="10"/>
  <c r="H5" i="10"/>
  <c r="I5" i="10"/>
  <c r="J5" i="10"/>
  <c r="K5" i="10"/>
  <c r="G6" i="10"/>
  <c r="H6" i="10"/>
  <c r="I6" i="10"/>
  <c r="J6" i="10"/>
  <c r="K6" i="10"/>
  <c r="G5" i="4"/>
  <c r="H5" i="4"/>
  <c r="I5" i="4"/>
  <c r="J5" i="4"/>
  <c r="K5" i="4"/>
  <c r="G6" i="4"/>
  <c r="H6" i="4"/>
  <c r="I6" i="4"/>
  <c r="J6" i="4"/>
  <c r="K6" i="4"/>
  <c r="K30" i="9"/>
  <c r="H30" i="7"/>
  <c r="I30" i="4"/>
  <c r="J55" i="10"/>
  <c r="J57" i="10"/>
  <c r="K55" i="9"/>
  <c r="K57" i="9"/>
  <c r="K55" i="7"/>
  <c r="K57" i="7"/>
  <c r="J55" i="8"/>
  <c r="J57" i="8"/>
  <c r="I30" i="10"/>
  <c r="G30" i="8"/>
  <c r="H30" i="4"/>
  <c r="L22" i="7"/>
  <c r="J55" i="9"/>
  <c r="J57" i="9"/>
  <c r="J30" i="4"/>
  <c r="H55" i="8"/>
  <c r="H57" i="8"/>
  <c r="G55" i="9"/>
  <c r="G57" i="9"/>
  <c r="I55" i="7"/>
  <c r="I57" i="7"/>
  <c r="K30" i="10"/>
  <c r="J30" i="7"/>
  <c r="I55" i="9"/>
  <c r="I57" i="9"/>
  <c r="G30" i="4"/>
  <c r="H30" i="10"/>
  <c r="G30" i="7"/>
  <c r="H55" i="7"/>
  <c r="H57" i="7"/>
  <c r="K55" i="4"/>
  <c r="K57" i="4"/>
  <c r="I55" i="8"/>
  <c r="I57" i="8"/>
  <c r="J55" i="4"/>
  <c r="J57" i="4"/>
  <c r="J30" i="8"/>
  <c r="I55" i="4"/>
  <c r="I57" i="4"/>
  <c r="J30" i="10"/>
  <c r="J30" i="9"/>
  <c r="J55" i="7"/>
  <c r="J57" i="7"/>
  <c r="K30" i="4"/>
  <c r="K55" i="10"/>
  <c r="K57" i="10"/>
  <c r="K55" i="8"/>
  <c r="K57" i="8"/>
  <c r="K30" i="7"/>
  <c r="K30" i="8"/>
  <c r="I30" i="9"/>
  <c r="I30" i="7"/>
  <c r="I30" i="8"/>
  <c r="I55" i="10"/>
  <c r="I57" i="10"/>
  <c r="H30" i="8"/>
  <c r="H55" i="10"/>
  <c r="H57" i="10"/>
  <c r="H55" i="9"/>
  <c r="H57" i="9"/>
  <c r="H55" i="4"/>
  <c r="H57" i="4"/>
  <c r="H30" i="9"/>
  <c r="G55" i="4"/>
  <c r="G57" i="4"/>
  <c r="G30" i="9"/>
  <c r="G55" i="7"/>
  <c r="G57" i="7"/>
  <c r="G30" i="10"/>
  <c r="G55" i="10"/>
  <c r="G57" i="10"/>
  <c r="G55" i="8"/>
  <c r="G57" i="8"/>
  <c r="I98" i="18"/>
  <c r="K98" i="18"/>
  <c r="M98" i="18"/>
  <c r="I97" i="18"/>
  <c r="K97" i="18"/>
  <c r="M97" i="18"/>
  <c r="I96" i="18"/>
  <c r="K96" i="18"/>
  <c r="M96" i="18"/>
  <c r="I95" i="18"/>
  <c r="K95" i="18"/>
  <c r="M95" i="18"/>
  <c r="I94" i="18"/>
  <c r="K94" i="18"/>
  <c r="M94" i="18"/>
  <c r="I88" i="18"/>
  <c r="K88" i="18"/>
  <c r="M88" i="18"/>
  <c r="I87" i="18"/>
  <c r="K87" i="18"/>
  <c r="M87" i="18"/>
  <c r="I86" i="18"/>
  <c r="K86" i="18"/>
  <c r="M86" i="18"/>
  <c r="I85" i="18"/>
  <c r="K85" i="18"/>
  <c r="M85" i="18"/>
  <c r="I84" i="18"/>
  <c r="K84" i="18"/>
  <c r="M84" i="18"/>
  <c r="I78" i="18"/>
  <c r="K78" i="18"/>
  <c r="M78" i="18"/>
  <c r="I77" i="18"/>
  <c r="K77" i="18"/>
  <c r="M77" i="18"/>
  <c r="I76" i="18"/>
  <c r="K76" i="18"/>
  <c r="M76" i="18"/>
  <c r="I75" i="18"/>
  <c r="K75" i="18"/>
  <c r="M75" i="18"/>
  <c r="I74" i="18"/>
  <c r="K74" i="18"/>
  <c r="M74" i="18"/>
  <c r="M79" i="18"/>
  <c r="I68" i="18"/>
  <c r="K68" i="18"/>
  <c r="M68" i="18"/>
  <c r="I67" i="18"/>
  <c r="K67" i="18"/>
  <c r="M67" i="18"/>
  <c r="I66" i="18"/>
  <c r="K66" i="18"/>
  <c r="M66" i="18"/>
  <c r="I65" i="18"/>
  <c r="K65" i="18"/>
  <c r="M65" i="18"/>
  <c r="I64" i="18"/>
  <c r="K64" i="18"/>
  <c r="M64" i="18"/>
  <c r="M69" i="18"/>
  <c r="I57" i="18"/>
  <c r="K57" i="18"/>
  <c r="M57" i="18"/>
  <c r="I56" i="18"/>
  <c r="K56" i="18"/>
  <c r="M56" i="18"/>
  <c r="I55" i="18"/>
  <c r="K55" i="18"/>
  <c r="M55" i="18"/>
  <c r="I54" i="18"/>
  <c r="K54" i="18"/>
  <c r="M54" i="18"/>
  <c r="I53" i="18"/>
  <c r="K53" i="18"/>
  <c r="M53" i="18"/>
  <c r="M58" i="18"/>
  <c r="S74" i="5"/>
  <c r="S75" i="5"/>
  <c r="S76" i="5"/>
  <c r="O68" i="1"/>
  <c r="S236" i="5"/>
  <c r="B243" i="5"/>
  <c r="S237" i="5"/>
  <c r="B244" i="5"/>
  <c r="S238" i="5"/>
  <c r="O70" i="12"/>
  <c r="S317" i="5"/>
  <c r="B324" i="5"/>
  <c r="S318" i="5"/>
  <c r="B325" i="5"/>
  <c r="S319" i="5"/>
  <c r="O70" i="13"/>
  <c r="S398" i="5"/>
  <c r="B405" i="5"/>
  <c r="S399" i="5"/>
  <c r="B406" i="5"/>
  <c r="S400" i="5"/>
  <c r="O70" i="14"/>
  <c r="S479" i="5"/>
  <c r="B486" i="5"/>
  <c r="S480" i="5"/>
  <c r="B487" i="5"/>
  <c r="S481" i="5"/>
  <c r="O70" i="15"/>
  <c r="O119" i="16"/>
  <c r="C19" i="19"/>
  <c r="O69" i="1"/>
  <c r="O71" i="12"/>
  <c r="O71" i="13"/>
  <c r="O71" i="14"/>
  <c r="O71" i="15"/>
  <c r="O120" i="16"/>
  <c r="C20" i="19"/>
  <c r="C21" i="19"/>
  <c r="T74" i="5"/>
  <c r="T75" i="5"/>
  <c r="P68" i="1"/>
  <c r="P68" i="11"/>
  <c r="T236" i="5"/>
  <c r="C243" i="5"/>
  <c r="T237" i="5"/>
  <c r="P70" i="12"/>
  <c r="T317" i="5"/>
  <c r="C324" i="5"/>
  <c r="T318" i="5"/>
  <c r="P70" i="13"/>
  <c r="T398" i="5"/>
  <c r="C405" i="5"/>
  <c r="T399" i="5"/>
  <c r="P70" i="14"/>
  <c r="T479" i="5"/>
  <c r="C486" i="5"/>
  <c r="T480" i="5"/>
  <c r="P70" i="15"/>
  <c r="P119" i="16"/>
  <c r="D19" i="19"/>
  <c r="P69" i="1"/>
  <c r="P69" i="11"/>
  <c r="P71" i="12"/>
  <c r="P71" i="13"/>
  <c r="P71" i="14"/>
  <c r="P71" i="15"/>
  <c r="P120" i="16"/>
  <c r="D20" i="19"/>
  <c r="D21" i="19"/>
  <c r="U74" i="5"/>
  <c r="D81" i="5"/>
  <c r="U75" i="5"/>
  <c r="Q68" i="1"/>
  <c r="U155" i="5"/>
  <c r="D162" i="5"/>
  <c r="U156" i="5"/>
  <c r="Q68" i="11"/>
  <c r="U236" i="5"/>
  <c r="D243" i="5"/>
  <c r="U237" i="5"/>
  <c r="Q70" i="12"/>
  <c r="U317" i="5"/>
  <c r="D324" i="5"/>
  <c r="U318" i="5"/>
  <c r="Q70" i="13"/>
  <c r="U398" i="5"/>
  <c r="D405" i="5"/>
  <c r="U399" i="5"/>
  <c r="Q70" i="14"/>
  <c r="U479" i="5"/>
  <c r="D486" i="5"/>
  <c r="U480" i="5"/>
  <c r="Q70" i="15"/>
  <c r="Q119" i="16"/>
  <c r="E19" i="19"/>
  <c r="Q69" i="1"/>
  <c r="Q69" i="11"/>
  <c r="Q71" i="12"/>
  <c r="Q71" i="13"/>
  <c r="Q71" i="14"/>
  <c r="Q71" i="15"/>
  <c r="Q120" i="16"/>
  <c r="E20" i="19"/>
  <c r="E21" i="19"/>
  <c r="V74" i="5"/>
  <c r="E81" i="5"/>
  <c r="V75" i="5"/>
  <c r="R68" i="1"/>
  <c r="V155" i="5"/>
  <c r="E162" i="5"/>
  <c r="V156" i="5"/>
  <c r="R68" i="11"/>
  <c r="V236" i="5"/>
  <c r="E243" i="5"/>
  <c r="V237" i="5"/>
  <c r="R70" i="12"/>
  <c r="V317" i="5"/>
  <c r="E324" i="5"/>
  <c r="V318" i="5"/>
  <c r="R70" i="13"/>
  <c r="V398" i="5"/>
  <c r="E405" i="5"/>
  <c r="V399" i="5"/>
  <c r="R70" i="14"/>
  <c r="V479" i="5"/>
  <c r="E486" i="5"/>
  <c r="V480" i="5"/>
  <c r="R70" i="15"/>
  <c r="R119" i="16"/>
  <c r="F19" i="19"/>
  <c r="R69" i="1"/>
  <c r="R69" i="11"/>
  <c r="R71" i="12"/>
  <c r="R71" i="13"/>
  <c r="R71" i="14"/>
  <c r="R71" i="15"/>
  <c r="R120" i="16"/>
  <c r="F20" i="19"/>
  <c r="F21" i="19"/>
  <c r="W74" i="5"/>
  <c r="F81" i="5"/>
  <c r="W75" i="5"/>
  <c r="S68" i="1"/>
  <c r="W155" i="5"/>
  <c r="F162" i="5"/>
  <c r="W156" i="5"/>
  <c r="S68" i="11"/>
  <c r="W236" i="5"/>
  <c r="F243" i="5"/>
  <c r="W237" i="5"/>
  <c r="S70" i="12"/>
  <c r="W317" i="5"/>
  <c r="F324" i="5"/>
  <c r="W318" i="5"/>
  <c r="S70" i="13"/>
  <c r="W398" i="5"/>
  <c r="F405" i="5"/>
  <c r="W399" i="5"/>
  <c r="S70" i="14"/>
  <c r="W479" i="5"/>
  <c r="F486" i="5"/>
  <c r="W480" i="5"/>
  <c r="S70" i="15"/>
  <c r="S119" i="16"/>
  <c r="G19" i="19"/>
  <c r="S69" i="1"/>
  <c r="S69" i="11"/>
  <c r="S71" i="12"/>
  <c r="S71" i="13"/>
  <c r="S71" i="14"/>
  <c r="S71" i="15"/>
  <c r="S120" i="16"/>
  <c r="G20" i="19"/>
  <c r="G21" i="19"/>
  <c r="Y155" i="5"/>
  <c r="H162" i="5"/>
  <c r="Y156" i="5"/>
  <c r="Z155" i="5"/>
  <c r="I162" i="5"/>
  <c r="Z156" i="5"/>
  <c r="AA155" i="5"/>
  <c r="J162" i="5"/>
  <c r="AA156" i="5"/>
  <c r="AB155" i="5"/>
  <c r="K162" i="5"/>
  <c r="AB156" i="5"/>
  <c r="Y68" i="11"/>
  <c r="H19" i="19"/>
  <c r="Y69" i="11"/>
  <c r="H20" i="19"/>
  <c r="H21" i="19"/>
  <c r="Y74" i="5"/>
  <c r="H81" i="5"/>
  <c r="Y75" i="5"/>
  <c r="Y236" i="5"/>
  <c r="H243" i="5"/>
  <c r="Y237" i="5"/>
  <c r="Y317" i="5"/>
  <c r="H324" i="5"/>
  <c r="Y318" i="5"/>
  <c r="Y398" i="5"/>
  <c r="H405" i="5"/>
  <c r="Y399" i="5"/>
  <c r="Y479" i="5"/>
  <c r="H486" i="5"/>
  <c r="Y480" i="5"/>
  <c r="I19" i="19"/>
  <c r="I20" i="19"/>
  <c r="I21" i="19"/>
  <c r="Z74" i="5"/>
  <c r="I81" i="5"/>
  <c r="Z75" i="5"/>
  <c r="Z236" i="5"/>
  <c r="I243" i="5"/>
  <c r="Z237" i="5"/>
  <c r="Z317" i="5"/>
  <c r="I324" i="5"/>
  <c r="Z318" i="5"/>
  <c r="Z398" i="5"/>
  <c r="I405" i="5"/>
  <c r="Z399" i="5"/>
  <c r="Z479" i="5"/>
  <c r="I486" i="5"/>
  <c r="Z480" i="5"/>
  <c r="J19" i="19"/>
  <c r="J20" i="19"/>
  <c r="J21" i="19"/>
  <c r="AA74" i="5"/>
  <c r="J81" i="5"/>
  <c r="AA75" i="5"/>
  <c r="AA236" i="5"/>
  <c r="J243" i="5"/>
  <c r="AA237" i="5"/>
  <c r="AA317" i="5"/>
  <c r="J324" i="5"/>
  <c r="AA318" i="5"/>
  <c r="AA398" i="5"/>
  <c r="J405" i="5"/>
  <c r="AA399" i="5"/>
  <c r="AA479" i="5"/>
  <c r="J486" i="5"/>
  <c r="AA480" i="5"/>
  <c r="K19" i="19"/>
  <c r="K20" i="19"/>
  <c r="K21" i="19"/>
  <c r="AB74" i="5"/>
  <c r="K81" i="5"/>
  <c r="AB75" i="5"/>
  <c r="AB236" i="5"/>
  <c r="K243" i="5"/>
  <c r="AB237" i="5"/>
  <c r="AB317" i="5"/>
  <c r="K324" i="5"/>
  <c r="AB318" i="5"/>
  <c r="AB398" i="5"/>
  <c r="K405" i="5"/>
  <c r="AB399" i="5"/>
  <c r="AB479" i="5"/>
  <c r="K486" i="5"/>
  <c r="AB480" i="5"/>
  <c r="L19" i="19"/>
  <c r="L20" i="19"/>
  <c r="L21" i="19"/>
  <c r="M21" i="19"/>
  <c r="M20" i="19"/>
  <c r="M19" i="19"/>
  <c r="O66" i="1"/>
  <c r="O68" i="12"/>
  <c r="O68" i="13"/>
  <c r="O68" i="14"/>
  <c r="O68" i="15"/>
  <c r="O117" i="16"/>
  <c r="C13" i="19"/>
  <c r="O67" i="1"/>
  <c r="O69" i="12"/>
  <c r="O69" i="13"/>
  <c r="O69" i="14"/>
  <c r="O69" i="15"/>
  <c r="O118" i="16"/>
  <c r="C14" i="19"/>
  <c r="C15" i="19"/>
  <c r="P66" i="1"/>
  <c r="P66" i="11"/>
  <c r="P68" i="12"/>
  <c r="P68" i="13"/>
  <c r="P68" i="14"/>
  <c r="P68" i="15"/>
  <c r="P117" i="16"/>
  <c r="D13" i="19"/>
  <c r="T76" i="5"/>
  <c r="P67" i="1"/>
  <c r="P67" i="11"/>
  <c r="C244" i="5"/>
  <c r="T238" i="5"/>
  <c r="P69" i="12"/>
  <c r="C325" i="5"/>
  <c r="T319" i="5"/>
  <c r="P69" i="13"/>
  <c r="C406" i="5"/>
  <c r="T400" i="5"/>
  <c r="P69" i="14"/>
  <c r="C487" i="5"/>
  <c r="T481" i="5"/>
  <c r="P69" i="15"/>
  <c r="P118" i="16"/>
  <c r="D14" i="19"/>
  <c r="D15" i="19"/>
  <c r="Q66" i="1"/>
  <c r="Q66" i="11"/>
  <c r="Q68" i="12"/>
  <c r="Q68" i="13"/>
  <c r="Q68" i="14"/>
  <c r="Q68" i="15"/>
  <c r="Q117" i="16"/>
  <c r="E13" i="19"/>
  <c r="D82" i="5"/>
  <c r="U76" i="5"/>
  <c r="Q67" i="1"/>
  <c r="D163" i="5"/>
  <c r="U157" i="5"/>
  <c r="Q67" i="11"/>
  <c r="D244" i="5"/>
  <c r="U238" i="5"/>
  <c r="Q69" i="12"/>
  <c r="D325" i="5"/>
  <c r="U319" i="5"/>
  <c r="Q69" i="13"/>
  <c r="D406" i="5"/>
  <c r="U400" i="5"/>
  <c r="Q69" i="14"/>
  <c r="D487" i="5"/>
  <c r="U481" i="5"/>
  <c r="Q69" i="15"/>
  <c r="Q118" i="16"/>
  <c r="E14" i="19"/>
  <c r="E15" i="19"/>
  <c r="R66" i="1"/>
  <c r="R66" i="11"/>
  <c r="R68" i="12"/>
  <c r="R68" i="13"/>
  <c r="R68" i="14"/>
  <c r="R68" i="15"/>
  <c r="R117" i="16"/>
  <c r="F13" i="19"/>
  <c r="E82" i="5"/>
  <c r="V76" i="5"/>
  <c r="R67" i="1"/>
  <c r="E163" i="5"/>
  <c r="V157" i="5"/>
  <c r="R67" i="11"/>
  <c r="E244" i="5"/>
  <c r="V238" i="5"/>
  <c r="R69" i="12"/>
  <c r="E325" i="5"/>
  <c r="V319" i="5"/>
  <c r="R69" i="13"/>
  <c r="E406" i="5"/>
  <c r="V400" i="5"/>
  <c r="R69" i="14"/>
  <c r="E487" i="5"/>
  <c r="V481" i="5"/>
  <c r="R69" i="15"/>
  <c r="R118" i="16"/>
  <c r="F14" i="19"/>
  <c r="F15" i="19"/>
  <c r="S66" i="1"/>
  <c r="S66" i="11"/>
  <c r="S68" i="12"/>
  <c r="S68" i="13"/>
  <c r="S68" i="14"/>
  <c r="S68" i="15"/>
  <c r="S117" i="16"/>
  <c r="G13" i="19"/>
  <c r="F82" i="5"/>
  <c r="W76" i="5"/>
  <c r="S67" i="1"/>
  <c r="F163" i="5"/>
  <c r="W157" i="5"/>
  <c r="S67" i="11"/>
  <c r="F244" i="5"/>
  <c r="W238" i="5"/>
  <c r="S69" i="12"/>
  <c r="F325" i="5"/>
  <c r="W319" i="5"/>
  <c r="S69" i="13"/>
  <c r="F406" i="5"/>
  <c r="W400" i="5"/>
  <c r="S69" i="14"/>
  <c r="F487" i="5"/>
  <c r="W481" i="5"/>
  <c r="S69" i="15"/>
  <c r="S118" i="16"/>
  <c r="G14" i="19"/>
  <c r="G15" i="19"/>
  <c r="Y66" i="11"/>
  <c r="H13" i="19"/>
  <c r="H163" i="5"/>
  <c r="Y157" i="5"/>
  <c r="I163" i="5"/>
  <c r="Z157" i="5"/>
  <c r="J163" i="5"/>
  <c r="AA157" i="5"/>
  <c r="K163" i="5"/>
  <c r="AB157" i="5"/>
  <c r="Y67" i="11"/>
  <c r="H14" i="19"/>
  <c r="H15" i="19"/>
  <c r="I13" i="19"/>
  <c r="H82" i="5"/>
  <c r="Y76" i="5"/>
  <c r="H244" i="5"/>
  <c r="Y238" i="5"/>
  <c r="H325" i="5"/>
  <c r="Y319" i="5"/>
  <c r="H406" i="5"/>
  <c r="Y400" i="5"/>
  <c r="H487" i="5"/>
  <c r="Y481" i="5"/>
  <c r="I14" i="19"/>
  <c r="I15" i="19"/>
  <c r="J13" i="19"/>
  <c r="I82" i="5"/>
  <c r="Z76" i="5"/>
  <c r="I244" i="5"/>
  <c r="Z238" i="5"/>
  <c r="I325" i="5"/>
  <c r="Z319" i="5"/>
  <c r="I406" i="5"/>
  <c r="Z400" i="5"/>
  <c r="I487" i="5"/>
  <c r="Z481" i="5"/>
  <c r="J14" i="19"/>
  <c r="J15" i="19"/>
  <c r="K13" i="19"/>
  <c r="J82" i="5"/>
  <c r="AA76" i="5"/>
  <c r="J244" i="5"/>
  <c r="AA238" i="5"/>
  <c r="J325" i="5"/>
  <c r="AA319" i="5"/>
  <c r="J406" i="5"/>
  <c r="AA400" i="5"/>
  <c r="J487" i="5"/>
  <c r="AA481" i="5"/>
  <c r="K14" i="19"/>
  <c r="K15" i="19"/>
  <c r="L13" i="19"/>
  <c r="K82" i="5"/>
  <c r="AB76" i="5"/>
  <c r="K244" i="5"/>
  <c r="AB238" i="5"/>
  <c r="K325" i="5"/>
  <c r="AB319" i="5"/>
  <c r="K406" i="5"/>
  <c r="AB400" i="5"/>
  <c r="K487" i="5"/>
  <c r="AB481" i="5"/>
  <c r="L14" i="19"/>
  <c r="L15" i="19"/>
  <c r="M15" i="19"/>
  <c r="M14" i="19"/>
  <c r="M13" i="19"/>
  <c r="K47" i="1"/>
  <c r="K78" i="16"/>
  <c r="J47" i="1"/>
  <c r="J78" i="16"/>
  <c r="G47" i="1"/>
  <c r="G78" i="16"/>
  <c r="H47" i="1"/>
  <c r="H78" i="16"/>
  <c r="I47" i="1"/>
  <c r="I78" i="16"/>
  <c r="H48" i="1"/>
  <c r="H49" i="1"/>
  <c r="H52" i="1"/>
  <c r="H42" i="5"/>
  <c r="H41" i="5"/>
  <c r="C43" i="5"/>
  <c r="D43" i="5"/>
  <c r="E43" i="5"/>
  <c r="F43" i="5"/>
  <c r="G43" i="5"/>
  <c r="H43" i="5"/>
  <c r="H45" i="5"/>
  <c r="H47" i="5"/>
  <c r="I42" i="5"/>
  <c r="I41" i="5"/>
  <c r="I47" i="5"/>
  <c r="H8" i="1"/>
  <c r="H50" i="5"/>
  <c r="H49" i="5"/>
  <c r="C51" i="5"/>
  <c r="D51" i="5"/>
  <c r="E51" i="5"/>
  <c r="F51" i="5"/>
  <c r="G51" i="5"/>
  <c r="H51" i="5"/>
  <c r="H53" i="5"/>
  <c r="H55" i="5"/>
  <c r="I50" i="5"/>
  <c r="I49" i="5"/>
  <c r="I55" i="5"/>
  <c r="H9" i="1"/>
  <c r="H58" i="5"/>
  <c r="H57" i="5"/>
  <c r="C59" i="5"/>
  <c r="D59" i="5"/>
  <c r="E59" i="5"/>
  <c r="F59" i="5"/>
  <c r="G59" i="5"/>
  <c r="H59" i="5"/>
  <c r="H61" i="5"/>
  <c r="H63" i="5"/>
  <c r="I58" i="5"/>
  <c r="I57" i="5"/>
  <c r="I63" i="5"/>
  <c r="H10" i="1"/>
  <c r="H11" i="1"/>
  <c r="H66" i="5"/>
  <c r="H65" i="5"/>
  <c r="H69" i="5"/>
  <c r="H70" i="5"/>
  <c r="I66" i="5"/>
  <c r="I65" i="5"/>
  <c r="I70" i="5"/>
  <c r="H13" i="1"/>
  <c r="H73" i="5"/>
  <c r="H72" i="5"/>
  <c r="H76" i="5"/>
  <c r="H77" i="5"/>
  <c r="I73" i="5"/>
  <c r="I72" i="5"/>
  <c r="I77" i="5"/>
  <c r="H14" i="1"/>
  <c r="H15" i="1"/>
  <c r="C85" i="5"/>
  <c r="D85" i="5"/>
  <c r="E85" i="5"/>
  <c r="F85" i="5"/>
  <c r="G85" i="5"/>
  <c r="H85" i="5"/>
  <c r="H88" i="5"/>
  <c r="H91" i="5"/>
  <c r="H92" i="5"/>
  <c r="H16" i="1"/>
  <c r="H95" i="5"/>
  <c r="H94" i="5"/>
  <c r="C96" i="5"/>
  <c r="D96" i="5"/>
  <c r="E96" i="5"/>
  <c r="F96" i="5"/>
  <c r="G96" i="5"/>
  <c r="H96" i="5"/>
  <c r="H98" i="5"/>
  <c r="I96" i="5"/>
  <c r="H99" i="5"/>
  <c r="I95" i="5"/>
  <c r="I94" i="5"/>
  <c r="I99" i="5"/>
  <c r="H17" i="1"/>
  <c r="H18" i="1"/>
  <c r="U76" i="1"/>
  <c r="U80" i="1"/>
  <c r="P87" i="1"/>
  <c r="V80" i="1"/>
  <c r="P88" i="1"/>
  <c r="U81" i="1"/>
  <c r="V81" i="1"/>
  <c r="H30" i="1"/>
  <c r="H34" i="1"/>
  <c r="H41" i="1"/>
  <c r="K63" i="9"/>
  <c r="K64" i="9"/>
  <c r="K66" i="9"/>
  <c r="K63" i="7"/>
  <c r="K64" i="7"/>
  <c r="K66" i="7"/>
  <c r="K63" i="8"/>
  <c r="K64" i="8"/>
  <c r="K63" i="10"/>
  <c r="K64" i="10"/>
  <c r="K66" i="10"/>
  <c r="K63" i="4"/>
  <c r="M99" i="18"/>
  <c r="M89" i="18"/>
  <c r="K48" i="1"/>
  <c r="K49" i="1"/>
  <c r="K52" i="1"/>
  <c r="K42" i="5"/>
  <c r="K41" i="5"/>
  <c r="I43" i="5"/>
  <c r="J43" i="5"/>
  <c r="K43" i="5"/>
  <c r="K45" i="5"/>
  <c r="K47" i="5"/>
  <c r="L42" i="5"/>
  <c r="L41" i="5"/>
  <c r="L47" i="5"/>
  <c r="K8" i="1"/>
  <c r="K50" i="5"/>
  <c r="K49" i="5"/>
  <c r="I51" i="5"/>
  <c r="J51" i="5"/>
  <c r="K51" i="5"/>
  <c r="K53" i="5"/>
  <c r="K55" i="5"/>
  <c r="L50" i="5"/>
  <c r="L49" i="5"/>
  <c r="L55" i="5"/>
  <c r="K9" i="1"/>
  <c r="K58" i="5"/>
  <c r="K57" i="5"/>
  <c r="I59" i="5"/>
  <c r="J59" i="5"/>
  <c r="K59" i="5"/>
  <c r="K61" i="5"/>
  <c r="K63" i="5"/>
  <c r="L58" i="5"/>
  <c r="L57" i="5"/>
  <c r="L63" i="5"/>
  <c r="K10" i="1"/>
  <c r="K11" i="1"/>
  <c r="K66" i="5"/>
  <c r="K65" i="5"/>
  <c r="K69" i="5"/>
  <c r="K70" i="5"/>
  <c r="L66" i="5"/>
  <c r="L65" i="5"/>
  <c r="L70" i="5"/>
  <c r="K13" i="1"/>
  <c r="K73" i="5"/>
  <c r="K72" i="5"/>
  <c r="K76" i="5"/>
  <c r="K77" i="5"/>
  <c r="L73" i="5"/>
  <c r="L72" i="5"/>
  <c r="L77" i="5"/>
  <c r="K14" i="1"/>
  <c r="K15" i="1"/>
  <c r="I85" i="5"/>
  <c r="J85" i="5"/>
  <c r="K85" i="5"/>
  <c r="K88" i="5"/>
  <c r="K91" i="5"/>
  <c r="K92" i="5"/>
  <c r="K16" i="1"/>
  <c r="K95" i="5"/>
  <c r="K94" i="5"/>
  <c r="J96" i="5"/>
  <c r="K96" i="5"/>
  <c r="K98" i="5"/>
  <c r="L96" i="5"/>
  <c r="K99" i="5"/>
  <c r="L95" i="5"/>
  <c r="L94" i="5"/>
  <c r="L99" i="5"/>
  <c r="K17" i="1"/>
  <c r="K18" i="1"/>
  <c r="X76" i="1"/>
  <c r="X80" i="1"/>
  <c r="Y80" i="1"/>
  <c r="X81" i="1"/>
  <c r="Y81" i="1"/>
  <c r="K30" i="1"/>
  <c r="K34" i="1"/>
  <c r="K41" i="1"/>
  <c r="G48" i="1"/>
  <c r="G49" i="1"/>
  <c r="G52" i="1"/>
  <c r="G42" i="5"/>
  <c r="G41" i="5"/>
  <c r="G45" i="5"/>
  <c r="G47" i="5"/>
  <c r="G8" i="1"/>
  <c r="G50" i="5"/>
  <c r="G49" i="5"/>
  <c r="G53" i="5"/>
  <c r="G55" i="5"/>
  <c r="G9" i="1"/>
  <c r="G58" i="5"/>
  <c r="G57" i="5"/>
  <c r="G61" i="5"/>
  <c r="G63" i="5"/>
  <c r="G10" i="1"/>
  <c r="G11" i="1"/>
  <c r="G66" i="5"/>
  <c r="G65" i="5"/>
  <c r="G69" i="5"/>
  <c r="G70" i="5"/>
  <c r="G13" i="1"/>
  <c r="G73" i="5"/>
  <c r="G72" i="5"/>
  <c r="G76" i="5"/>
  <c r="G77" i="5"/>
  <c r="G14" i="1"/>
  <c r="G15" i="1"/>
  <c r="G88" i="5"/>
  <c r="G91" i="5"/>
  <c r="G92" i="5"/>
  <c r="G16" i="1"/>
  <c r="G95" i="5"/>
  <c r="G94" i="5"/>
  <c r="G98" i="5"/>
  <c r="G99" i="5"/>
  <c r="G17" i="1"/>
  <c r="G18" i="1"/>
  <c r="T76" i="1"/>
  <c r="T80" i="1"/>
  <c r="G23" i="1"/>
  <c r="T81" i="1"/>
  <c r="G30" i="1"/>
  <c r="G34" i="1"/>
  <c r="G41" i="1"/>
  <c r="J48" i="1"/>
  <c r="J49" i="1"/>
  <c r="J52" i="1"/>
  <c r="J42" i="5"/>
  <c r="J41" i="5"/>
  <c r="J45" i="5"/>
  <c r="J47" i="5"/>
  <c r="J8" i="1"/>
  <c r="J50" i="5"/>
  <c r="J49" i="5"/>
  <c r="J53" i="5"/>
  <c r="J55" i="5"/>
  <c r="J9" i="1"/>
  <c r="J58" i="5"/>
  <c r="J57" i="5"/>
  <c r="J61" i="5"/>
  <c r="J63" i="5"/>
  <c r="J10" i="1"/>
  <c r="J11" i="1"/>
  <c r="J66" i="5"/>
  <c r="J65" i="5"/>
  <c r="J69" i="5"/>
  <c r="J70" i="5"/>
  <c r="J13" i="1"/>
  <c r="J73" i="5"/>
  <c r="J72" i="5"/>
  <c r="J76" i="5"/>
  <c r="J77" i="5"/>
  <c r="J14" i="1"/>
  <c r="J15" i="1"/>
  <c r="J88" i="5"/>
  <c r="J91" i="5"/>
  <c r="J92" i="5"/>
  <c r="J16" i="1"/>
  <c r="J95" i="5"/>
  <c r="J94" i="5"/>
  <c r="J98" i="5"/>
  <c r="J99" i="5"/>
  <c r="J17" i="1"/>
  <c r="J18" i="1"/>
  <c r="W76" i="1"/>
  <c r="J22" i="1"/>
  <c r="J20" i="1"/>
  <c r="W80" i="1"/>
  <c r="J23" i="1"/>
  <c r="W81" i="1"/>
  <c r="J30" i="1"/>
  <c r="J34" i="1"/>
  <c r="J41" i="1"/>
  <c r="I48" i="1"/>
  <c r="I49" i="1"/>
  <c r="I52" i="1"/>
  <c r="I45" i="5"/>
  <c r="I8" i="1"/>
  <c r="I53" i="5"/>
  <c r="I9" i="1"/>
  <c r="I61" i="5"/>
  <c r="I10" i="1"/>
  <c r="I11" i="1"/>
  <c r="I69" i="5"/>
  <c r="I13" i="1"/>
  <c r="I76" i="5"/>
  <c r="I14" i="1"/>
  <c r="I15" i="1"/>
  <c r="I88" i="5"/>
  <c r="I91" i="5"/>
  <c r="I92" i="5"/>
  <c r="I16" i="1"/>
  <c r="I98" i="5"/>
  <c r="I17" i="1"/>
  <c r="I18" i="1"/>
  <c r="V76" i="1"/>
  <c r="I22" i="1"/>
  <c r="I38" i="16"/>
  <c r="I20" i="1"/>
  <c r="I21" i="1"/>
  <c r="I30" i="1"/>
  <c r="I34" i="1"/>
  <c r="I41" i="1"/>
  <c r="K66" i="8"/>
  <c r="K64" i="4"/>
  <c r="K59" i="1"/>
  <c r="O65" i="1"/>
  <c r="R78" i="11"/>
  <c r="W65" i="11"/>
  <c r="Q65" i="1"/>
  <c r="V65" i="1"/>
  <c r="B88" i="5"/>
  <c r="B66" i="5"/>
  <c r="C66" i="5"/>
  <c r="C69" i="5"/>
  <c r="D69" i="5"/>
  <c r="B69" i="5"/>
  <c r="B73" i="5"/>
  <c r="C73" i="5"/>
  <c r="B95" i="5"/>
  <c r="D45" i="5"/>
  <c r="B42" i="5"/>
  <c r="C42" i="5"/>
  <c r="D53" i="5"/>
  <c r="B50" i="5"/>
  <c r="B49" i="5"/>
  <c r="C50" i="5"/>
  <c r="D61" i="5"/>
  <c r="B58" i="5"/>
  <c r="C58" i="5"/>
  <c r="B34" i="1"/>
  <c r="B147" i="5"/>
  <c r="C147" i="5"/>
  <c r="C150" i="5"/>
  <c r="D150" i="5"/>
  <c r="B150" i="5"/>
  <c r="B154" i="5"/>
  <c r="C154" i="5"/>
  <c r="B176" i="5"/>
  <c r="D126" i="5"/>
  <c r="B123" i="5"/>
  <c r="C123" i="5"/>
  <c r="D134" i="5"/>
  <c r="B131" i="5"/>
  <c r="B130" i="5"/>
  <c r="C131" i="5"/>
  <c r="D142" i="5"/>
  <c r="B139" i="5"/>
  <c r="C139" i="5"/>
  <c r="B34" i="11"/>
  <c r="O67" i="12"/>
  <c r="B228" i="5"/>
  <c r="C231" i="5"/>
  <c r="D231" i="5"/>
  <c r="B231" i="5"/>
  <c r="B235" i="5"/>
  <c r="C235" i="5"/>
  <c r="B257" i="5"/>
  <c r="C257" i="5"/>
  <c r="D207" i="5"/>
  <c r="B204" i="5"/>
  <c r="C204" i="5"/>
  <c r="D215" i="5"/>
  <c r="B212" i="5"/>
  <c r="B211" i="5"/>
  <c r="C212" i="5"/>
  <c r="D223" i="5"/>
  <c r="B220" i="5"/>
  <c r="C220" i="5"/>
  <c r="B36" i="12"/>
  <c r="B309" i="5"/>
  <c r="C309" i="5"/>
  <c r="C312" i="5"/>
  <c r="D312" i="5"/>
  <c r="B312" i="5"/>
  <c r="B316" i="5"/>
  <c r="C316" i="5"/>
  <c r="B338" i="5"/>
  <c r="D288" i="5"/>
  <c r="B285" i="5"/>
  <c r="C285" i="5"/>
  <c r="D296" i="5"/>
  <c r="B293" i="5"/>
  <c r="B292" i="5"/>
  <c r="C293" i="5"/>
  <c r="D304" i="5"/>
  <c r="B301" i="5"/>
  <c r="C301" i="5"/>
  <c r="B36" i="13"/>
  <c r="B390" i="5"/>
  <c r="C390" i="5"/>
  <c r="C393" i="5"/>
  <c r="D393" i="5"/>
  <c r="B393" i="5"/>
  <c r="B397" i="5"/>
  <c r="C397" i="5"/>
  <c r="B419" i="5"/>
  <c r="D369" i="5"/>
  <c r="B366" i="5"/>
  <c r="C366" i="5"/>
  <c r="D377" i="5"/>
  <c r="B374" i="5"/>
  <c r="B373" i="5"/>
  <c r="C374" i="5"/>
  <c r="D385" i="5"/>
  <c r="B382" i="5"/>
  <c r="C382" i="5"/>
  <c r="B36" i="14"/>
  <c r="B471" i="5"/>
  <c r="C471" i="5"/>
  <c r="C474" i="5"/>
  <c r="D474" i="5"/>
  <c r="B474" i="5"/>
  <c r="B478" i="5"/>
  <c r="C478" i="5"/>
  <c r="B500" i="5"/>
  <c r="D450" i="5"/>
  <c r="B447" i="5"/>
  <c r="C447" i="5"/>
  <c r="D458" i="5"/>
  <c r="B455" i="5"/>
  <c r="B454" i="5"/>
  <c r="C455" i="5"/>
  <c r="D466" i="5"/>
  <c r="B463" i="5"/>
  <c r="C463" i="5"/>
  <c r="B36" i="15"/>
  <c r="E69" i="5"/>
  <c r="E45" i="5"/>
  <c r="E53" i="5"/>
  <c r="E61" i="5"/>
  <c r="C34" i="1"/>
  <c r="E150" i="5"/>
  <c r="E126" i="5"/>
  <c r="E134" i="5"/>
  <c r="E142" i="5"/>
  <c r="C34" i="11"/>
  <c r="E231" i="5"/>
  <c r="E207" i="5"/>
  <c r="E215" i="5"/>
  <c r="E223" i="5"/>
  <c r="C36" i="12"/>
  <c r="E312" i="5"/>
  <c r="E288" i="5"/>
  <c r="E296" i="5"/>
  <c r="E304" i="5"/>
  <c r="C36" i="13"/>
  <c r="E393" i="5"/>
  <c r="E369" i="5"/>
  <c r="E377" i="5"/>
  <c r="E385" i="5"/>
  <c r="C36" i="14"/>
  <c r="E474" i="5"/>
  <c r="E450" i="5"/>
  <c r="E458" i="5"/>
  <c r="E466" i="5"/>
  <c r="C36" i="15"/>
  <c r="F69" i="5"/>
  <c r="F45" i="5"/>
  <c r="F53" i="5"/>
  <c r="F61" i="5"/>
  <c r="D34" i="1"/>
  <c r="F150" i="5"/>
  <c r="F126" i="5"/>
  <c r="F134" i="5"/>
  <c r="F142" i="5"/>
  <c r="D34" i="11"/>
  <c r="F231" i="5"/>
  <c r="F207" i="5"/>
  <c r="F215" i="5"/>
  <c r="F223" i="5"/>
  <c r="D36" i="12"/>
  <c r="F312" i="5"/>
  <c r="F288" i="5"/>
  <c r="F296" i="5"/>
  <c r="F304" i="5"/>
  <c r="D36" i="13"/>
  <c r="F393" i="5"/>
  <c r="F369" i="5"/>
  <c r="F377" i="5"/>
  <c r="F385" i="5"/>
  <c r="D36" i="14"/>
  <c r="F474" i="5"/>
  <c r="F450" i="5"/>
  <c r="F458" i="5"/>
  <c r="F466" i="5"/>
  <c r="D36" i="15"/>
  <c r="E34" i="1"/>
  <c r="G150" i="5"/>
  <c r="G126" i="5"/>
  <c r="G134" i="5"/>
  <c r="G142" i="5"/>
  <c r="E34" i="11"/>
  <c r="G231" i="5"/>
  <c r="G207" i="5"/>
  <c r="G215" i="5"/>
  <c r="G223" i="5"/>
  <c r="E36" i="12"/>
  <c r="G312" i="5"/>
  <c r="G288" i="5"/>
  <c r="G296" i="5"/>
  <c r="G304" i="5"/>
  <c r="E36" i="13"/>
  <c r="G393" i="5"/>
  <c r="G369" i="5"/>
  <c r="G377" i="5"/>
  <c r="G385" i="5"/>
  <c r="E36" i="14"/>
  <c r="G474" i="5"/>
  <c r="G450" i="5"/>
  <c r="G458" i="5"/>
  <c r="G466" i="5"/>
  <c r="E36" i="15"/>
  <c r="F34" i="1"/>
  <c r="H150" i="5"/>
  <c r="H126" i="5"/>
  <c r="H134" i="5"/>
  <c r="H142" i="5"/>
  <c r="F34" i="11"/>
  <c r="H231" i="5"/>
  <c r="H207" i="5"/>
  <c r="H215" i="5"/>
  <c r="H223" i="5"/>
  <c r="F36" i="12"/>
  <c r="H312" i="5"/>
  <c r="H288" i="5"/>
  <c r="H296" i="5"/>
  <c r="H304" i="5"/>
  <c r="F36" i="13"/>
  <c r="H393" i="5"/>
  <c r="H369" i="5"/>
  <c r="H377" i="5"/>
  <c r="H385" i="5"/>
  <c r="F36" i="14"/>
  <c r="H474" i="5"/>
  <c r="H450" i="5"/>
  <c r="H458" i="5"/>
  <c r="H466" i="5"/>
  <c r="F36" i="15"/>
  <c r="I150" i="5"/>
  <c r="I126" i="5"/>
  <c r="I134" i="5"/>
  <c r="I142" i="5"/>
  <c r="G34" i="11"/>
  <c r="T67" i="12"/>
  <c r="I231" i="5"/>
  <c r="I207" i="5"/>
  <c r="I215" i="5"/>
  <c r="I223" i="5"/>
  <c r="G36" i="12"/>
  <c r="I312" i="5"/>
  <c r="I288" i="5"/>
  <c r="I296" i="5"/>
  <c r="I304" i="5"/>
  <c r="G36" i="13"/>
  <c r="T67" i="14"/>
  <c r="I393" i="5"/>
  <c r="I369" i="5"/>
  <c r="I377" i="5"/>
  <c r="I385" i="5"/>
  <c r="G36" i="14"/>
  <c r="T67" i="15"/>
  <c r="I474" i="5"/>
  <c r="I450" i="5"/>
  <c r="I458" i="5"/>
  <c r="I466" i="5"/>
  <c r="G36" i="15"/>
  <c r="J150" i="5"/>
  <c r="J126" i="5"/>
  <c r="J134" i="5"/>
  <c r="J142" i="5"/>
  <c r="H34" i="11"/>
  <c r="J231" i="5"/>
  <c r="J207" i="5"/>
  <c r="J215" i="5"/>
  <c r="J223" i="5"/>
  <c r="H36" i="12"/>
  <c r="U67" i="13"/>
  <c r="J312" i="5"/>
  <c r="J288" i="5"/>
  <c r="J296" i="5"/>
  <c r="J304" i="5"/>
  <c r="H36" i="13"/>
  <c r="U67" i="14"/>
  <c r="J393" i="5"/>
  <c r="J369" i="5"/>
  <c r="J377" i="5"/>
  <c r="J385" i="5"/>
  <c r="H36" i="14"/>
  <c r="J474" i="5"/>
  <c r="J450" i="5"/>
  <c r="J458" i="5"/>
  <c r="J466" i="5"/>
  <c r="H36" i="15"/>
  <c r="K150" i="5"/>
  <c r="K126" i="5"/>
  <c r="K134" i="5"/>
  <c r="K142" i="5"/>
  <c r="I34" i="11"/>
  <c r="V67" i="12"/>
  <c r="K231" i="5"/>
  <c r="K207" i="5"/>
  <c r="K215" i="5"/>
  <c r="K223" i="5"/>
  <c r="I36" i="12"/>
  <c r="K312" i="5"/>
  <c r="K288" i="5"/>
  <c r="K296" i="5"/>
  <c r="K304" i="5"/>
  <c r="I36" i="13"/>
  <c r="K393" i="5"/>
  <c r="K369" i="5"/>
  <c r="K377" i="5"/>
  <c r="K385" i="5"/>
  <c r="I36" i="14"/>
  <c r="V67" i="15"/>
  <c r="K474" i="5"/>
  <c r="K450" i="5"/>
  <c r="K458" i="5"/>
  <c r="K466" i="5"/>
  <c r="I36" i="15"/>
  <c r="L69" i="5"/>
  <c r="L45" i="5"/>
  <c r="L53" i="5"/>
  <c r="L61" i="5"/>
  <c r="L150" i="5"/>
  <c r="L126" i="5"/>
  <c r="L134" i="5"/>
  <c r="L142" i="5"/>
  <c r="J34" i="11"/>
  <c r="L231" i="5"/>
  <c r="L207" i="5"/>
  <c r="L215" i="5"/>
  <c r="L223" i="5"/>
  <c r="J36" i="12"/>
  <c r="L312" i="5"/>
  <c r="L288" i="5"/>
  <c r="L296" i="5"/>
  <c r="L304" i="5"/>
  <c r="J36" i="13"/>
  <c r="W67" i="14"/>
  <c r="L393" i="5"/>
  <c r="L369" i="5"/>
  <c r="L377" i="5"/>
  <c r="L385" i="5"/>
  <c r="J36" i="14"/>
  <c r="L474" i="5"/>
  <c r="L450" i="5"/>
  <c r="L458" i="5"/>
  <c r="L466" i="5"/>
  <c r="J36" i="15"/>
  <c r="R74" i="5"/>
  <c r="A80" i="5"/>
  <c r="R75" i="5"/>
  <c r="A81" i="5"/>
  <c r="R76" i="5"/>
  <c r="M45" i="5"/>
  <c r="M53" i="5"/>
  <c r="M61" i="5"/>
  <c r="R155" i="5"/>
  <c r="R156" i="5"/>
  <c r="A162" i="5"/>
  <c r="R157" i="5"/>
  <c r="M126" i="5"/>
  <c r="M134" i="5"/>
  <c r="M142" i="5"/>
  <c r="K34" i="11"/>
  <c r="X67" i="12"/>
  <c r="R236" i="5"/>
  <c r="R237" i="5"/>
  <c r="A243" i="5"/>
  <c r="R238" i="5"/>
  <c r="M207" i="5"/>
  <c r="M215" i="5"/>
  <c r="M223" i="5"/>
  <c r="K36" i="12"/>
  <c r="X67" i="13"/>
  <c r="R317" i="5"/>
  <c r="R318" i="5"/>
  <c r="R319" i="5"/>
  <c r="M288" i="5"/>
  <c r="M296" i="5"/>
  <c r="M304" i="5"/>
  <c r="K36" i="13"/>
  <c r="X67" i="14"/>
  <c r="R398" i="5"/>
  <c r="A404" i="5"/>
  <c r="R399" i="5"/>
  <c r="R400" i="5"/>
  <c r="A406" i="5"/>
  <c r="M369" i="5"/>
  <c r="M377" i="5"/>
  <c r="M385" i="5"/>
  <c r="K36" i="14"/>
  <c r="X67" i="15"/>
  <c r="R479" i="5"/>
  <c r="R480" i="5"/>
  <c r="A486" i="5"/>
  <c r="R481" i="5"/>
  <c r="A487" i="5"/>
  <c r="M450" i="5"/>
  <c r="M458" i="5"/>
  <c r="M466" i="5"/>
  <c r="K36" i="15"/>
  <c r="P83" i="1"/>
  <c r="Q83" i="1"/>
  <c r="S83" i="11"/>
  <c r="T83" i="11"/>
  <c r="U83" i="1"/>
  <c r="V83" i="1"/>
  <c r="W83" i="1"/>
  <c r="X83" i="1"/>
  <c r="Y83" i="1"/>
  <c r="Z83" i="1"/>
  <c r="U83" i="11"/>
  <c r="V83" i="11"/>
  <c r="W83" i="11"/>
  <c r="X83" i="11"/>
  <c r="Y83" i="11"/>
  <c r="Z83" i="11"/>
  <c r="B81" i="16"/>
  <c r="B74" i="16"/>
  <c r="B75" i="16"/>
  <c r="B76" i="16"/>
  <c r="B77" i="16"/>
  <c r="B82" i="16"/>
  <c r="B60" i="16"/>
  <c r="B61" i="16"/>
  <c r="B63" i="16"/>
  <c r="B64" i="16"/>
  <c r="B65" i="16"/>
  <c r="B67" i="16"/>
  <c r="B68" i="16"/>
  <c r="B69" i="16"/>
  <c r="B70" i="16"/>
  <c r="B71" i="16"/>
  <c r="B72" i="16"/>
  <c r="C81" i="16"/>
  <c r="C74" i="16"/>
  <c r="C75" i="16"/>
  <c r="C76" i="16"/>
  <c r="C77" i="16"/>
  <c r="C82" i="16"/>
  <c r="C60" i="16"/>
  <c r="C61" i="16"/>
  <c r="C63" i="16"/>
  <c r="C64" i="16"/>
  <c r="C65" i="16"/>
  <c r="C67" i="16"/>
  <c r="C68" i="16"/>
  <c r="C69" i="16"/>
  <c r="C70" i="16"/>
  <c r="C71" i="16"/>
  <c r="C72" i="16"/>
  <c r="D81" i="16"/>
  <c r="D74" i="16"/>
  <c r="D75" i="16"/>
  <c r="D76" i="16"/>
  <c r="D77" i="16"/>
  <c r="D82" i="16"/>
  <c r="D60" i="16"/>
  <c r="D61" i="16"/>
  <c r="D63" i="16"/>
  <c r="D64" i="16"/>
  <c r="D65" i="16"/>
  <c r="D67" i="16"/>
  <c r="D68" i="16"/>
  <c r="D69" i="16"/>
  <c r="D70" i="16"/>
  <c r="D71" i="16"/>
  <c r="D72" i="16"/>
  <c r="E81" i="16"/>
  <c r="E74" i="16"/>
  <c r="E75" i="16"/>
  <c r="E76" i="16"/>
  <c r="E77" i="16"/>
  <c r="E82" i="16"/>
  <c r="E60" i="16"/>
  <c r="E61" i="16"/>
  <c r="E63" i="16"/>
  <c r="E64" i="16"/>
  <c r="E65" i="16"/>
  <c r="E67" i="16"/>
  <c r="E68" i="16"/>
  <c r="E69" i="16"/>
  <c r="E70" i="16"/>
  <c r="E71" i="16"/>
  <c r="E72" i="16"/>
  <c r="F81" i="16"/>
  <c r="F74" i="16"/>
  <c r="F75" i="16"/>
  <c r="F76" i="16"/>
  <c r="F77" i="16"/>
  <c r="F82" i="16"/>
  <c r="F60" i="16"/>
  <c r="F61" i="16"/>
  <c r="F63" i="16"/>
  <c r="F64" i="16"/>
  <c r="F65" i="16"/>
  <c r="F67" i="16"/>
  <c r="F68" i="16"/>
  <c r="F69" i="16"/>
  <c r="F70" i="16"/>
  <c r="F71" i="16"/>
  <c r="F72" i="16"/>
  <c r="G81" i="16"/>
  <c r="G74" i="16"/>
  <c r="G75" i="16"/>
  <c r="G76" i="16"/>
  <c r="G77" i="16"/>
  <c r="G82" i="16"/>
  <c r="G60" i="16"/>
  <c r="G61" i="16"/>
  <c r="G63" i="16"/>
  <c r="G64" i="16"/>
  <c r="G65" i="16"/>
  <c r="G67" i="16"/>
  <c r="G68" i="16"/>
  <c r="G69" i="16"/>
  <c r="G70" i="16"/>
  <c r="G71" i="16"/>
  <c r="G72" i="16"/>
  <c r="H81" i="16"/>
  <c r="H74" i="16"/>
  <c r="H75" i="16"/>
  <c r="H76" i="16"/>
  <c r="H77" i="16"/>
  <c r="H82" i="16"/>
  <c r="H60" i="16"/>
  <c r="H61" i="16"/>
  <c r="H63" i="16"/>
  <c r="H64" i="16"/>
  <c r="H65" i="16"/>
  <c r="H67" i="16"/>
  <c r="H68" i="16"/>
  <c r="H69" i="16"/>
  <c r="H70" i="16"/>
  <c r="H71" i="16"/>
  <c r="H72" i="16"/>
  <c r="I81" i="16"/>
  <c r="I74" i="16"/>
  <c r="I75" i="16"/>
  <c r="I76" i="16"/>
  <c r="I77" i="16"/>
  <c r="I82" i="16"/>
  <c r="I60" i="16"/>
  <c r="I61" i="16"/>
  <c r="I63" i="16"/>
  <c r="I64" i="16"/>
  <c r="I65" i="16"/>
  <c r="I67" i="16"/>
  <c r="I68" i="16"/>
  <c r="I69" i="16"/>
  <c r="I70" i="16"/>
  <c r="I71" i="16"/>
  <c r="I72" i="16"/>
  <c r="J81" i="16"/>
  <c r="J74" i="16"/>
  <c r="J75" i="16"/>
  <c r="J76" i="16"/>
  <c r="J77" i="16"/>
  <c r="J82" i="16"/>
  <c r="J60" i="16"/>
  <c r="J61" i="16"/>
  <c r="J63" i="16"/>
  <c r="J64" i="16"/>
  <c r="J65" i="16"/>
  <c r="J67" i="16"/>
  <c r="J68" i="16"/>
  <c r="J69" i="16"/>
  <c r="J70" i="16"/>
  <c r="J71" i="16"/>
  <c r="J72" i="16"/>
  <c r="K81" i="16"/>
  <c r="K74" i="16"/>
  <c r="K75" i="16"/>
  <c r="K76" i="16"/>
  <c r="K77" i="16"/>
  <c r="K82" i="16"/>
  <c r="K60" i="16"/>
  <c r="K61" i="16"/>
  <c r="K63" i="16"/>
  <c r="K64" i="16"/>
  <c r="K65" i="16"/>
  <c r="K67" i="16"/>
  <c r="K68" i="16"/>
  <c r="K69" i="16"/>
  <c r="K70" i="16"/>
  <c r="K71" i="16"/>
  <c r="K72" i="16"/>
  <c r="Y85" i="15"/>
  <c r="Z85" i="15"/>
  <c r="Y85" i="14"/>
  <c r="Z85" i="14"/>
  <c r="Y85" i="13"/>
  <c r="Z85" i="13"/>
  <c r="Y85" i="12"/>
  <c r="Z85" i="12"/>
  <c r="B102" i="1"/>
  <c r="S470" i="5"/>
  <c r="AD470" i="5"/>
  <c r="AB72" i="5"/>
  <c r="AB153" i="5"/>
  <c r="AB234" i="5"/>
  <c r="AB315" i="5"/>
  <c r="AB396" i="5"/>
  <c r="AB477" i="5"/>
  <c r="AC71" i="5"/>
  <c r="AC152" i="5"/>
  <c r="AC233" i="5"/>
  <c r="AC314" i="5"/>
  <c r="AC395" i="5"/>
  <c r="AC476" i="5"/>
  <c r="AB71" i="5"/>
  <c r="AB152" i="5"/>
  <c r="AB233" i="5"/>
  <c r="AB314" i="5"/>
  <c r="AB395" i="5"/>
  <c r="AB476" i="5"/>
  <c r="AA71" i="5"/>
  <c r="AA152" i="5"/>
  <c r="AA233" i="5"/>
  <c r="AA314" i="5"/>
  <c r="AA395" i="5"/>
  <c r="AA476" i="5"/>
  <c r="Z71" i="5"/>
  <c r="Z152" i="5"/>
  <c r="Z233" i="5"/>
  <c r="Z314" i="5"/>
  <c r="Z395" i="5"/>
  <c r="Z476" i="5"/>
  <c r="Y71" i="5"/>
  <c r="Y152" i="5"/>
  <c r="Y233" i="5"/>
  <c r="Y314" i="5"/>
  <c r="Y395" i="5"/>
  <c r="Y476" i="5"/>
  <c r="X71" i="5"/>
  <c r="X152" i="5"/>
  <c r="X233" i="5"/>
  <c r="X314" i="5"/>
  <c r="X395" i="5"/>
  <c r="X476" i="5"/>
  <c r="W71" i="5"/>
  <c r="W152" i="5"/>
  <c r="W233" i="5"/>
  <c r="W314" i="5"/>
  <c r="W395" i="5"/>
  <c r="W476" i="5"/>
  <c r="V71" i="5"/>
  <c r="V152" i="5"/>
  <c r="V233" i="5"/>
  <c r="V314" i="5"/>
  <c r="V395" i="5"/>
  <c r="V476" i="5"/>
  <c r="U71" i="5"/>
  <c r="U152" i="5"/>
  <c r="U233" i="5"/>
  <c r="U314" i="5"/>
  <c r="U395" i="5"/>
  <c r="U476" i="5"/>
  <c r="T71" i="5"/>
  <c r="T152" i="5"/>
  <c r="T233" i="5"/>
  <c r="T314" i="5"/>
  <c r="T395" i="5"/>
  <c r="T476" i="5"/>
  <c r="S71" i="5"/>
  <c r="S152" i="5"/>
  <c r="S233" i="5"/>
  <c r="S314" i="5"/>
  <c r="S395" i="5"/>
  <c r="S476" i="5"/>
  <c r="AC70" i="5"/>
  <c r="AC151" i="5"/>
  <c r="AC232" i="5"/>
  <c r="AC313" i="5"/>
  <c r="AC394" i="5"/>
  <c r="AC475" i="5"/>
  <c r="AB70" i="5"/>
  <c r="AB151" i="5"/>
  <c r="AB232" i="5"/>
  <c r="AB313" i="5"/>
  <c r="AB394" i="5"/>
  <c r="AB475" i="5"/>
  <c r="AA70" i="5"/>
  <c r="AA151" i="5"/>
  <c r="AA232" i="5"/>
  <c r="AA313" i="5"/>
  <c r="AA394" i="5"/>
  <c r="AA475" i="5"/>
  <c r="Z70" i="5"/>
  <c r="Z151" i="5"/>
  <c r="Z232" i="5"/>
  <c r="Z313" i="5"/>
  <c r="Z394" i="5"/>
  <c r="Z475" i="5"/>
  <c r="Y70" i="5"/>
  <c r="Y151" i="5"/>
  <c r="Y232" i="5"/>
  <c r="Y313" i="5"/>
  <c r="Y394" i="5"/>
  <c r="Y475" i="5"/>
  <c r="X70" i="5"/>
  <c r="X151" i="5"/>
  <c r="X232" i="5"/>
  <c r="X313" i="5"/>
  <c r="X394" i="5"/>
  <c r="X475" i="5"/>
  <c r="W70" i="5"/>
  <c r="W151" i="5"/>
  <c r="W232" i="5"/>
  <c r="W313" i="5"/>
  <c r="W394" i="5"/>
  <c r="W475" i="5"/>
  <c r="V70" i="5"/>
  <c r="V151" i="5"/>
  <c r="V232" i="5"/>
  <c r="V313" i="5"/>
  <c r="V394" i="5"/>
  <c r="V475" i="5"/>
  <c r="U70" i="5"/>
  <c r="U151" i="5"/>
  <c r="U232" i="5"/>
  <c r="U313" i="5"/>
  <c r="U394" i="5"/>
  <c r="U475" i="5"/>
  <c r="T70" i="5"/>
  <c r="T151" i="5"/>
  <c r="T232" i="5"/>
  <c r="T313" i="5"/>
  <c r="T394" i="5"/>
  <c r="T475" i="5"/>
  <c r="S70" i="5"/>
  <c r="S151" i="5"/>
  <c r="S232" i="5"/>
  <c r="S313" i="5"/>
  <c r="S394" i="5"/>
  <c r="S475" i="5"/>
  <c r="AC150" i="5"/>
  <c r="AC231" i="5"/>
  <c r="AC312" i="5"/>
  <c r="AC393" i="5"/>
  <c r="AC474" i="5"/>
  <c r="AB69" i="5"/>
  <c r="AB150" i="5"/>
  <c r="AB231" i="5"/>
  <c r="AB312" i="5"/>
  <c r="AB393" i="5"/>
  <c r="AB474" i="5"/>
  <c r="AA69" i="5"/>
  <c r="AA150" i="5"/>
  <c r="AA231" i="5"/>
  <c r="AA312" i="5"/>
  <c r="AA393" i="5"/>
  <c r="AA474" i="5"/>
  <c r="Z69" i="5"/>
  <c r="Z150" i="5"/>
  <c r="Z231" i="5"/>
  <c r="Z312" i="5"/>
  <c r="Z393" i="5"/>
  <c r="Z474" i="5"/>
  <c r="Y69" i="5"/>
  <c r="Y150" i="5"/>
  <c r="Y231" i="5"/>
  <c r="Y312" i="5"/>
  <c r="Y393" i="5"/>
  <c r="Y474" i="5"/>
  <c r="X69" i="5"/>
  <c r="X150" i="5"/>
  <c r="X231" i="5"/>
  <c r="X312" i="5"/>
  <c r="X393" i="5"/>
  <c r="X474" i="5"/>
  <c r="W69" i="5"/>
  <c r="W150" i="5"/>
  <c r="W231" i="5"/>
  <c r="W312" i="5"/>
  <c r="W393" i="5"/>
  <c r="W474" i="5"/>
  <c r="V69" i="5"/>
  <c r="V150" i="5"/>
  <c r="V231" i="5"/>
  <c r="V312" i="5"/>
  <c r="V393" i="5"/>
  <c r="V474" i="5"/>
  <c r="U69" i="5"/>
  <c r="U150" i="5"/>
  <c r="U231" i="5"/>
  <c r="U312" i="5"/>
  <c r="U393" i="5"/>
  <c r="U474" i="5"/>
  <c r="T69" i="5"/>
  <c r="T150" i="5"/>
  <c r="T231" i="5"/>
  <c r="T312" i="5"/>
  <c r="T393" i="5"/>
  <c r="T474" i="5"/>
  <c r="S69" i="5"/>
  <c r="S150" i="5"/>
  <c r="S231" i="5"/>
  <c r="S312" i="5"/>
  <c r="S393" i="5"/>
  <c r="S474" i="5"/>
  <c r="C383" i="5"/>
  <c r="C375" i="5"/>
  <c r="C132" i="5"/>
  <c r="D132" i="5"/>
  <c r="D136" i="5"/>
  <c r="C140" i="5"/>
  <c r="D140" i="5"/>
  <c r="D144" i="5"/>
  <c r="C213" i="5"/>
  <c r="D213" i="5"/>
  <c r="C221" i="5"/>
  <c r="D221" i="5"/>
  <c r="J224" i="5"/>
  <c r="K224" i="5"/>
  <c r="L224" i="5"/>
  <c r="M224" i="5"/>
  <c r="C294" i="5"/>
  <c r="C302" i="5"/>
  <c r="C464" i="5"/>
  <c r="C456" i="5"/>
  <c r="C448" i="5"/>
  <c r="AC400" i="5"/>
  <c r="AC399" i="5"/>
  <c r="AC398" i="5"/>
  <c r="AC319" i="5"/>
  <c r="AC318" i="5"/>
  <c r="AC317" i="5"/>
  <c r="AC238" i="5"/>
  <c r="AC237" i="5"/>
  <c r="AC236" i="5"/>
  <c r="B188" i="5"/>
  <c r="B269" i="5"/>
  <c r="B350" i="5"/>
  <c r="B431" i="5"/>
  <c r="K86" i="16"/>
  <c r="C76" i="5"/>
  <c r="B91" i="5"/>
  <c r="C98" i="5"/>
  <c r="C124" i="5"/>
  <c r="D124" i="5"/>
  <c r="D128" i="5"/>
  <c r="C157" i="5"/>
  <c r="B169" i="5"/>
  <c r="B172" i="5"/>
  <c r="B173" i="5"/>
  <c r="B16" i="11"/>
  <c r="C177" i="5"/>
  <c r="D177" i="5"/>
  <c r="E177" i="5"/>
  <c r="F177" i="5"/>
  <c r="G177" i="5"/>
  <c r="H177" i="5"/>
  <c r="I177" i="5"/>
  <c r="J177" i="5"/>
  <c r="K177" i="5"/>
  <c r="L177" i="5"/>
  <c r="C179" i="5"/>
  <c r="C205" i="5"/>
  <c r="D205" i="5"/>
  <c r="C238" i="5"/>
  <c r="B250" i="5"/>
  <c r="B253" i="5"/>
  <c r="B254" i="5"/>
  <c r="B16" i="12"/>
  <c r="C258" i="5"/>
  <c r="D258" i="5"/>
  <c r="E258" i="5"/>
  <c r="F258" i="5"/>
  <c r="G258" i="5"/>
  <c r="H258" i="5"/>
  <c r="I258" i="5"/>
  <c r="J258" i="5"/>
  <c r="K258" i="5"/>
  <c r="L258" i="5"/>
  <c r="C260" i="5"/>
  <c r="C286" i="5"/>
  <c r="D286" i="5"/>
  <c r="D290" i="5"/>
  <c r="C296" i="5"/>
  <c r="D294" i="5"/>
  <c r="D298" i="5"/>
  <c r="C304" i="5"/>
  <c r="D302" i="5"/>
  <c r="D306" i="5"/>
  <c r="C319" i="5"/>
  <c r="B331" i="5"/>
  <c r="B334" i="5"/>
  <c r="C339" i="5"/>
  <c r="D339" i="5"/>
  <c r="E339" i="5"/>
  <c r="F339" i="5"/>
  <c r="G339" i="5"/>
  <c r="H339" i="5"/>
  <c r="I339" i="5"/>
  <c r="J339" i="5"/>
  <c r="C341" i="5"/>
  <c r="C367" i="5"/>
  <c r="D375" i="5"/>
  <c r="D383" i="5"/>
  <c r="D387" i="5"/>
  <c r="C398" i="5"/>
  <c r="C400" i="5"/>
  <c r="D398" i="5"/>
  <c r="E398" i="5"/>
  <c r="F398" i="5"/>
  <c r="G398" i="5"/>
  <c r="H398" i="5"/>
  <c r="I398" i="5"/>
  <c r="J398" i="5"/>
  <c r="K398" i="5"/>
  <c r="L398" i="5"/>
  <c r="B412" i="5"/>
  <c r="B415" i="5"/>
  <c r="C420" i="5"/>
  <c r="D420" i="5"/>
  <c r="E420" i="5"/>
  <c r="F420" i="5"/>
  <c r="G420" i="5"/>
  <c r="H420" i="5"/>
  <c r="I420" i="5"/>
  <c r="J420" i="5"/>
  <c r="K420" i="5"/>
  <c r="L420" i="5"/>
  <c r="C422" i="5"/>
  <c r="B61" i="14"/>
  <c r="D456" i="5"/>
  <c r="D460" i="5"/>
  <c r="D464" i="5"/>
  <c r="D468" i="5"/>
  <c r="C472" i="5"/>
  <c r="D472" i="5"/>
  <c r="E472" i="5"/>
  <c r="F472" i="5"/>
  <c r="G472" i="5"/>
  <c r="H472" i="5"/>
  <c r="I472" i="5"/>
  <c r="J472" i="5"/>
  <c r="K472" i="5"/>
  <c r="L472" i="5"/>
  <c r="C479" i="5"/>
  <c r="D479" i="5"/>
  <c r="E479" i="5"/>
  <c r="F479" i="5"/>
  <c r="G479" i="5"/>
  <c r="H479" i="5"/>
  <c r="I479" i="5"/>
  <c r="J479" i="5"/>
  <c r="K479" i="5"/>
  <c r="L479" i="5"/>
  <c r="C481" i="5"/>
  <c r="B493" i="5"/>
  <c r="B496" i="5"/>
  <c r="C501" i="5"/>
  <c r="C503" i="5"/>
  <c r="D501" i="5"/>
  <c r="E501" i="5"/>
  <c r="F501" i="5"/>
  <c r="G501" i="5"/>
  <c r="H501" i="5"/>
  <c r="I501" i="5"/>
  <c r="J501" i="5"/>
  <c r="K501" i="5"/>
  <c r="L501" i="5"/>
  <c r="D481" i="5"/>
  <c r="C490" i="5"/>
  <c r="C493" i="5"/>
  <c r="C496" i="5"/>
  <c r="C497" i="5"/>
  <c r="C16" i="15"/>
  <c r="D503" i="5"/>
  <c r="E481" i="5"/>
  <c r="D490" i="5"/>
  <c r="E503" i="5"/>
  <c r="F481" i="5"/>
  <c r="F503" i="5"/>
  <c r="G481" i="5"/>
  <c r="G503" i="5"/>
  <c r="H481" i="5"/>
  <c r="H503" i="5"/>
  <c r="I481" i="5"/>
  <c r="I503" i="5"/>
  <c r="J481" i="5"/>
  <c r="J503" i="5"/>
  <c r="K481" i="5"/>
  <c r="K503" i="5"/>
  <c r="L481" i="5"/>
  <c r="L503" i="5"/>
  <c r="D400" i="5"/>
  <c r="C409" i="5"/>
  <c r="D422" i="5"/>
  <c r="C61" i="14"/>
  <c r="E400" i="5"/>
  <c r="E422" i="5"/>
  <c r="D61" i="14"/>
  <c r="F400" i="5"/>
  <c r="F422" i="5"/>
  <c r="G400" i="5"/>
  <c r="G422" i="5"/>
  <c r="H400" i="5"/>
  <c r="H422" i="5"/>
  <c r="I400" i="5"/>
  <c r="I422" i="5"/>
  <c r="J400" i="5"/>
  <c r="J422" i="5"/>
  <c r="K400" i="5"/>
  <c r="K422" i="5"/>
  <c r="L400" i="5"/>
  <c r="L422" i="5"/>
  <c r="E294" i="5"/>
  <c r="E298" i="5"/>
  <c r="E302" i="5"/>
  <c r="D319" i="5"/>
  <c r="C328" i="5"/>
  <c r="C334" i="5"/>
  <c r="C331" i="5"/>
  <c r="D341" i="5"/>
  <c r="F294" i="5"/>
  <c r="F298" i="5"/>
  <c r="E319" i="5"/>
  <c r="D328" i="5"/>
  <c r="D334" i="5"/>
  <c r="D331" i="5"/>
  <c r="E341" i="5"/>
  <c r="G294" i="5"/>
  <c r="G298" i="5"/>
  <c r="F319" i="5"/>
  <c r="F341" i="5"/>
  <c r="G319" i="5"/>
  <c r="G341" i="5"/>
  <c r="H319" i="5"/>
  <c r="H341" i="5"/>
  <c r="I319" i="5"/>
  <c r="I341" i="5"/>
  <c r="J319" i="5"/>
  <c r="J341" i="5"/>
  <c r="K339" i="5"/>
  <c r="L339" i="5"/>
  <c r="K319" i="5"/>
  <c r="K341" i="5"/>
  <c r="L319" i="5"/>
  <c r="L341" i="5"/>
  <c r="D238" i="5"/>
  <c r="C247" i="5"/>
  <c r="C250" i="5"/>
  <c r="D260" i="5"/>
  <c r="E238" i="5"/>
  <c r="E260" i="5"/>
  <c r="F238" i="5"/>
  <c r="F260" i="5"/>
  <c r="G238" i="5"/>
  <c r="G260" i="5"/>
  <c r="H238" i="5"/>
  <c r="H260" i="5"/>
  <c r="I238" i="5"/>
  <c r="I260" i="5"/>
  <c r="J238" i="5"/>
  <c r="J260" i="5"/>
  <c r="K238" i="5"/>
  <c r="K260" i="5"/>
  <c r="L238" i="5"/>
  <c r="L260" i="5"/>
  <c r="D157" i="5"/>
  <c r="C166" i="5"/>
  <c r="C169" i="5"/>
  <c r="D179" i="5"/>
  <c r="E157" i="5"/>
  <c r="D166" i="5"/>
  <c r="E179" i="5"/>
  <c r="F157" i="5"/>
  <c r="F179" i="5"/>
  <c r="G157" i="5"/>
  <c r="G179" i="5"/>
  <c r="H157" i="5"/>
  <c r="H179" i="5"/>
  <c r="I157" i="5"/>
  <c r="I179" i="5"/>
  <c r="J157" i="5"/>
  <c r="J179" i="5"/>
  <c r="K157" i="5"/>
  <c r="K179" i="5"/>
  <c r="L157" i="5"/>
  <c r="L179" i="5"/>
  <c r="AC157" i="5"/>
  <c r="AC156" i="5"/>
  <c r="AC155" i="5"/>
  <c r="D76" i="5"/>
  <c r="C88" i="5"/>
  <c r="D98" i="5"/>
  <c r="E76" i="5"/>
  <c r="D88" i="5"/>
  <c r="E98" i="5"/>
  <c r="F76" i="5"/>
  <c r="F98" i="5"/>
  <c r="L76" i="5"/>
  <c r="L98" i="5"/>
  <c r="AC74" i="5"/>
  <c r="AC75" i="5"/>
  <c r="AC76" i="5"/>
  <c r="M467" i="5"/>
  <c r="M459" i="5"/>
  <c r="M451" i="5"/>
  <c r="M386" i="5"/>
  <c r="M378" i="5"/>
  <c r="M370" i="5"/>
  <c r="M305" i="5"/>
  <c r="M297" i="5"/>
  <c r="M289" i="5"/>
  <c r="M216" i="5"/>
  <c r="M208" i="5"/>
  <c r="M143" i="5"/>
  <c r="M135" i="5"/>
  <c r="M127" i="5"/>
  <c r="AM8" i="5"/>
  <c r="M62" i="5"/>
  <c r="M54" i="5"/>
  <c r="M46" i="5"/>
  <c r="U115" i="16"/>
  <c r="V115" i="16"/>
  <c r="W115" i="16"/>
  <c r="X115" i="16"/>
  <c r="U65" i="1"/>
  <c r="U67" i="12"/>
  <c r="U67" i="15"/>
  <c r="V67" i="13"/>
  <c r="W65" i="1"/>
  <c r="W67" i="13"/>
  <c r="W67" i="15"/>
  <c r="X65" i="1"/>
  <c r="C45" i="5"/>
  <c r="C53" i="5"/>
  <c r="C61" i="5"/>
  <c r="C126" i="5"/>
  <c r="C134" i="5"/>
  <c r="C142" i="5"/>
  <c r="C207" i="5"/>
  <c r="C215" i="5"/>
  <c r="C223" i="5"/>
  <c r="C288" i="5"/>
  <c r="C369" i="5"/>
  <c r="C377" i="5"/>
  <c r="C385" i="5"/>
  <c r="C450" i="5"/>
  <c r="C458" i="5"/>
  <c r="C466" i="5"/>
  <c r="L75" i="16"/>
  <c r="L76" i="16"/>
  <c r="L77" i="16"/>
  <c r="L81" i="16"/>
  <c r="L82" i="16"/>
  <c r="L74" i="16"/>
  <c r="L68" i="16"/>
  <c r="L69" i="16"/>
  <c r="L70" i="16"/>
  <c r="L71" i="16"/>
  <c r="L67" i="16"/>
  <c r="L64" i="16"/>
  <c r="L63" i="16"/>
  <c r="L60" i="16"/>
  <c r="B5" i="16"/>
  <c r="B6" i="16"/>
  <c r="C5" i="16"/>
  <c r="C6" i="16"/>
  <c r="D5" i="16"/>
  <c r="D6" i="16"/>
  <c r="E5" i="16"/>
  <c r="E6" i="16"/>
  <c r="F5" i="16"/>
  <c r="F6" i="16"/>
  <c r="G5" i="16"/>
  <c r="G6" i="16"/>
  <c r="H5" i="16"/>
  <c r="H6" i="16"/>
  <c r="I5" i="16"/>
  <c r="I6" i="16"/>
  <c r="J5" i="16"/>
  <c r="J6" i="16"/>
  <c r="K5" i="16"/>
  <c r="K6" i="16"/>
  <c r="L46" i="15"/>
  <c r="L47" i="15"/>
  <c r="L48" i="15"/>
  <c r="L49" i="15"/>
  <c r="L52" i="15"/>
  <c r="L53" i="15"/>
  <c r="L45" i="15"/>
  <c r="L39" i="15"/>
  <c r="L40" i="15"/>
  <c r="L41" i="15"/>
  <c r="L42" i="15"/>
  <c r="L38" i="15"/>
  <c r="L35" i="15"/>
  <c r="L34" i="15"/>
  <c r="L31" i="15"/>
  <c r="L30" i="15"/>
  <c r="L18" i="15"/>
  <c r="G32" i="15"/>
  <c r="H32" i="15"/>
  <c r="I32" i="15"/>
  <c r="J32" i="15"/>
  <c r="K32" i="15"/>
  <c r="G43" i="15"/>
  <c r="H43" i="15"/>
  <c r="I43" i="15"/>
  <c r="J43" i="15"/>
  <c r="K43" i="15"/>
  <c r="G61" i="15"/>
  <c r="H61" i="15"/>
  <c r="I61" i="15"/>
  <c r="J61" i="15"/>
  <c r="K61" i="15"/>
  <c r="B32" i="15"/>
  <c r="B43" i="15"/>
  <c r="B61" i="15"/>
  <c r="C61" i="15"/>
  <c r="D61" i="15"/>
  <c r="E61" i="15"/>
  <c r="F61" i="15"/>
  <c r="L61" i="15"/>
  <c r="C32" i="15"/>
  <c r="C43" i="15"/>
  <c r="D32" i="15"/>
  <c r="D43" i="15"/>
  <c r="E32" i="15"/>
  <c r="E43" i="15"/>
  <c r="F32" i="15"/>
  <c r="F43" i="15"/>
  <c r="B5" i="15"/>
  <c r="B6" i="15"/>
  <c r="C5" i="15"/>
  <c r="C6" i="15"/>
  <c r="D5" i="15"/>
  <c r="D6" i="15"/>
  <c r="E5" i="15"/>
  <c r="E6" i="15"/>
  <c r="F5" i="15"/>
  <c r="F6" i="15"/>
  <c r="G5" i="15"/>
  <c r="G6" i="15"/>
  <c r="H5" i="15"/>
  <c r="H6" i="15"/>
  <c r="I5" i="15"/>
  <c r="I6" i="15"/>
  <c r="J5" i="15"/>
  <c r="J6" i="15"/>
  <c r="K5" i="15"/>
  <c r="K6" i="15"/>
  <c r="A9" i="5"/>
  <c r="B9" i="5"/>
  <c r="A10" i="5"/>
  <c r="B10" i="5"/>
  <c r="X80" i="15"/>
  <c r="U85" i="15"/>
  <c r="V85" i="15"/>
  <c r="W85" i="15"/>
  <c r="X85" i="15"/>
  <c r="X66" i="15"/>
  <c r="T66" i="15"/>
  <c r="U66" i="15"/>
  <c r="V66" i="15"/>
  <c r="W66" i="15"/>
  <c r="L46" i="14"/>
  <c r="L47" i="14"/>
  <c r="L48" i="14"/>
  <c r="L49" i="14"/>
  <c r="L52" i="14"/>
  <c r="L53" i="14"/>
  <c r="L45" i="14"/>
  <c r="L39" i="14"/>
  <c r="L40" i="14"/>
  <c r="L41" i="14"/>
  <c r="L42" i="14"/>
  <c r="L38" i="14"/>
  <c r="L35" i="14"/>
  <c r="L34" i="14"/>
  <c r="L31" i="14"/>
  <c r="L30" i="14"/>
  <c r="L18" i="14"/>
  <c r="F32" i="14"/>
  <c r="G32" i="14"/>
  <c r="H32" i="14"/>
  <c r="I32" i="14"/>
  <c r="J32" i="14"/>
  <c r="K32" i="14"/>
  <c r="F43" i="14"/>
  <c r="G43" i="14"/>
  <c r="H43" i="14"/>
  <c r="I43" i="14"/>
  <c r="J43" i="14"/>
  <c r="K43" i="14"/>
  <c r="F61" i="14"/>
  <c r="G61" i="14"/>
  <c r="H61" i="14"/>
  <c r="I61" i="14"/>
  <c r="J61" i="14"/>
  <c r="K61" i="14"/>
  <c r="B32" i="14"/>
  <c r="B43" i="14"/>
  <c r="C32" i="14"/>
  <c r="C43" i="14"/>
  <c r="D32" i="14"/>
  <c r="D43" i="14"/>
  <c r="E32" i="14"/>
  <c r="E43" i="14"/>
  <c r="E61" i="14"/>
  <c r="L61" i="14"/>
  <c r="B5" i="14"/>
  <c r="B6" i="14"/>
  <c r="C5" i="14"/>
  <c r="C6" i="14"/>
  <c r="D5" i="14"/>
  <c r="D6" i="14"/>
  <c r="E5" i="14"/>
  <c r="E6" i="14"/>
  <c r="F5" i="14"/>
  <c r="F6" i="14"/>
  <c r="G5" i="14"/>
  <c r="G6" i="14"/>
  <c r="H5" i="14"/>
  <c r="H6" i="14"/>
  <c r="I5" i="14"/>
  <c r="I6" i="14"/>
  <c r="J5" i="14"/>
  <c r="J6" i="14"/>
  <c r="K5" i="14"/>
  <c r="K6" i="14"/>
  <c r="X80" i="14"/>
  <c r="U85" i="14"/>
  <c r="V85" i="14"/>
  <c r="W85" i="14"/>
  <c r="X85" i="14"/>
  <c r="T66" i="14"/>
  <c r="U66" i="14"/>
  <c r="V66" i="14"/>
  <c r="W66" i="14"/>
  <c r="X66" i="14"/>
  <c r="E467" i="5"/>
  <c r="F467" i="5"/>
  <c r="G467" i="5"/>
  <c r="H467" i="5"/>
  <c r="I467" i="5"/>
  <c r="J467" i="5"/>
  <c r="K467" i="5"/>
  <c r="L467" i="5"/>
  <c r="E459" i="5"/>
  <c r="F459" i="5"/>
  <c r="G459" i="5"/>
  <c r="H459" i="5"/>
  <c r="I459" i="5"/>
  <c r="J459" i="5"/>
  <c r="K459" i="5"/>
  <c r="L459" i="5"/>
  <c r="E451" i="5"/>
  <c r="F451" i="5"/>
  <c r="G451" i="5"/>
  <c r="H451" i="5"/>
  <c r="I451" i="5"/>
  <c r="J451" i="5"/>
  <c r="K451" i="5"/>
  <c r="L451" i="5"/>
  <c r="E386" i="5"/>
  <c r="F386" i="5"/>
  <c r="G386" i="5"/>
  <c r="H386" i="5"/>
  <c r="I386" i="5"/>
  <c r="J386" i="5"/>
  <c r="K386" i="5"/>
  <c r="L386" i="5"/>
  <c r="E378" i="5"/>
  <c r="F378" i="5"/>
  <c r="G378" i="5"/>
  <c r="H378" i="5"/>
  <c r="I378" i="5"/>
  <c r="J378" i="5"/>
  <c r="K378" i="5"/>
  <c r="L378" i="5"/>
  <c r="G370" i="5"/>
  <c r="H370" i="5"/>
  <c r="I370" i="5"/>
  <c r="J370" i="5"/>
  <c r="K370" i="5"/>
  <c r="L370" i="5"/>
  <c r="AL8" i="5"/>
  <c r="AK8" i="5"/>
  <c r="AJ8" i="5"/>
  <c r="AI8" i="5"/>
  <c r="AH8" i="5"/>
  <c r="AG8" i="5"/>
  <c r="X80" i="13"/>
  <c r="U85" i="13"/>
  <c r="V85" i="13"/>
  <c r="W85" i="13"/>
  <c r="X85" i="13"/>
  <c r="T66" i="13"/>
  <c r="U66" i="13"/>
  <c r="V66" i="13"/>
  <c r="W66" i="13"/>
  <c r="X66" i="13"/>
  <c r="T67" i="13"/>
  <c r="G32" i="13"/>
  <c r="G43" i="13"/>
  <c r="G61" i="13"/>
  <c r="H32" i="13"/>
  <c r="H43" i="13"/>
  <c r="H61" i="13"/>
  <c r="I32" i="13"/>
  <c r="I43" i="13"/>
  <c r="I61" i="13"/>
  <c r="J32" i="13"/>
  <c r="J43" i="13"/>
  <c r="J61" i="13"/>
  <c r="K32" i="13"/>
  <c r="K43" i="13"/>
  <c r="K61" i="13"/>
  <c r="B32" i="13"/>
  <c r="B43" i="13"/>
  <c r="B61" i="13"/>
  <c r="C32" i="13"/>
  <c r="C43" i="13"/>
  <c r="C61" i="13"/>
  <c r="D32" i="13"/>
  <c r="D43" i="13"/>
  <c r="D61" i="13"/>
  <c r="E32" i="13"/>
  <c r="E43" i="13"/>
  <c r="E61" i="13"/>
  <c r="F32" i="13"/>
  <c r="F43" i="13"/>
  <c r="F61" i="13"/>
  <c r="L61" i="13"/>
  <c r="L46" i="13"/>
  <c r="L47" i="13"/>
  <c r="L48" i="13"/>
  <c r="L49" i="13"/>
  <c r="L52" i="13"/>
  <c r="L53" i="13"/>
  <c r="L45" i="13"/>
  <c r="L39" i="13"/>
  <c r="L40" i="13"/>
  <c r="L41" i="13"/>
  <c r="L42" i="13"/>
  <c r="L38" i="13"/>
  <c r="L35" i="13"/>
  <c r="L34" i="13"/>
  <c r="L31" i="13"/>
  <c r="L30" i="13"/>
  <c r="L18" i="13"/>
  <c r="B5" i="13"/>
  <c r="B6" i="13"/>
  <c r="C5" i="13"/>
  <c r="C6" i="13"/>
  <c r="D5" i="13"/>
  <c r="D6" i="13"/>
  <c r="E5" i="13"/>
  <c r="E6" i="13"/>
  <c r="F5" i="13"/>
  <c r="F6" i="13"/>
  <c r="G5" i="13"/>
  <c r="G6" i="13"/>
  <c r="H5" i="13"/>
  <c r="H6" i="13"/>
  <c r="I5" i="13"/>
  <c r="I6" i="13"/>
  <c r="J5" i="13"/>
  <c r="J6" i="13"/>
  <c r="K5" i="13"/>
  <c r="K6" i="13"/>
  <c r="E305" i="5"/>
  <c r="F305" i="5"/>
  <c r="G305" i="5"/>
  <c r="H305" i="5"/>
  <c r="I305" i="5"/>
  <c r="J305" i="5"/>
  <c r="K305" i="5"/>
  <c r="L305" i="5"/>
  <c r="G297" i="5"/>
  <c r="H297" i="5"/>
  <c r="I297" i="5"/>
  <c r="J297" i="5"/>
  <c r="K297" i="5"/>
  <c r="L297" i="5"/>
  <c r="H289" i="5"/>
  <c r="I289" i="5"/>
  <c r="J289" i="5"/>
  <c r="K289" i="5"/>
  <c r="L289" i="5"/>
  <c r="X66" i="12"/>
  <c r="X80" i="12"/>
  <c r="X85" i="12"/>
  <c r="G61" i="12"/>
  <c r="H61" i="12"/>
  <c r="I61" i="12"/>
  <c r="J61" i="12"/>
  <c r="K61" i="12"/>
  <c r="L46" i="12"/>
  <c r="L47" i="12"/>
  <c r="L48" i="12"/>
  <c r="L49" i="12"/>
  <c r="L52" i="12"/>
  <c r="L53" i="12"/>
  <c r="L45" i="12"/>
  <c r="G43" i="12"/>
  <c r="H43" i="12"/>
  <c r="I43" i="12"/>
  <c r="J43" i="12"/>
  <c r="K43" i="12"/>
  <c r="L39" i="12"/>
  <c r="L40" i="12"/>
  <c r="L41" i="12"/>
  <c r="L42" i="12"/>
  <c r="L38" i="12"/>
  <c r="L35" i="12"/>
  <c r="L34" i="12"/>
  <c r="G32" i="12"/>
  <c r="H32" i="12"/>
  <c r="I32" i="12"/>
  <c r="J32" i="12"/>
  <c r="K32" i="12"/>
  <c r="L31" i="12"/>
  <c r="L30" i="12"/>
  <c r="L18" i="12"/>
  <c r="B5" i="12"/>
  <c r="B6" i="12"/>
  <c r="C5" i="12"/>
  <c r="C6" i="12"/>
  <c r="D5" i="12"/>
  <c r="D6" i="12"/>
  <c r="E5" i="12"/>
  <c r="E6" i="12"/>
  <c r="F5" i="12"/>
  <c r="F6" i="12"/>
  <c r="G5" i="12"/>
  <c r="G6" i="12"/>
  <c r="H5" i="12"/>
  <c r="H6" i="12"/>
  <c r="I5" i="12"/>
  <c r="I6" i="12"/>
  <c r="J5" i="12"/>
  <c r="J6" i="12"/>
  <c r="K5" i="12"/>
  <c r="K6" i="12"/>
  <c r="I224" i="5"/>
  <c r="AF8" i="5"/>
  <c r="AE8" i="5"/>
  <c r="G216" i="5"/>
  <c r="H216" i="5"/>
  <c r="I216" i="5"/>
  <c r="J216" i="5"/>
  <c r="K216" i="5"/>
  <c r="L216" i="5"/>
  <c r="J208" i="5"/>
  <c r="K208" i="5"/>
  <c r="L208" i="5"/>
  <c r="T10" i="5"/>
  <c r="U85" i="12"/>
  <c r="V85" i="12"/>
  <c r="W85" i="12"/>
  <c r="T66" i="12"/>
  <c r="U66" i="12"/>
  <c r="V66" i="12"/>
  <c r="W66" i="12"/>
  <c r="B41" i="11"/>
  <c r="B59" i="11"/>
  <c r="G41" i="11"/>
  <c r="G59" i="11"/>
  <c r="H41" i="11"/>
  <c r="H59" i="11"/>
  <c r="I41" i="11"/>
  <c r="I59" i="11"/>
  <c r="J41" i="11"/>
  <c r="J59" i="11"/>
  <c r="K41" i="11"/>
  <c r="K59" i="11"/>
  <c r="C41" i="11"/>
  <c r="C59" i="11"/>
  <c r="D41" i="11"/>
  <c r="D59" i="11"/>
  <c r="E41" i="11"/>
  <c r="E59" i="11"/>
  <c r="F41" i="11"/>
  <c r="F59" i="11"/>
  <c r="B32" i="12"/>
  <c r="B43" i="12"/>
  <c r="B61" i="12"/>
  <c r="C61" i="12"/>
  <c r="D61" i="12"/>
  <c r="E61" i="12"/>
  <c r="F61" i="12"/>
  <c r="L61" i="12"/>
  <c r="C32" i="12"/>
  <c r="C43" i="12"/>
  <c r="D32" i="12"/>
  <c r="D43" i="12"/>
  <c r="E32" i="12"/>
  <c r="E43" i="12"/>
  <c r="F32" i="12"/>
  <c r="F43" i="12"/>
  <c r="L44" i="11"/>
  <c r="L45" i="11"/>
  <c r="L46" i="11"/>
  <c r="L47" i="11"/>
  <c r="L50" i="11"/>
  <c r="L51" i="11"/>
  <c r="L43" i="11"/>
  <c r="L37" i="11"/>
  <c r="L38" i="11"/>
  <c r="L39" i="11"/>
  <c r="L40" i="11"/>
  <c r="L36" i="11"/>
  <c r="L33" i="11"/>
  <c r="L32" i="11"/>
  <c r="L29" i="11"/>
  <c r="X78" i="11"/>
  <c r="T64" i="11"/>
  <c r="U64" i="11"/>
  <c r="V64" i="11"/>
  <c r="W64" i="11"/>
  <c r="X64" i="11"/>
  <c r="T65" i="11"/>
  <c r="U65" i="11"/>
  <c r="V65" i="11"/>
  <c r="X65" i="11"/>
  <c r="H30" i="11"/>
  <c r="I30" i="11"/>
  <c r="J30" i="11"/>
  <c r="K30" i="11"/>
  <c r="B30" i="11"/>
  <c r="C30" i="11"/>
  <c r="D30" i="11"/>
  <c r="E30" i="11"/>
  <c r="F30" i="11"/>
  <c r="B5" i="11"/>
  <c r="B6" i="11"/>
  <c r="C5" i="11"/>
  <c r="C6" i="11"/>
  <c r="D5" i="11"/>
  <c r="D6" i="11"/>
  <c r="E5" i="11"/>
  <c r="E6" i="11"/>
  <c r="F5" i="11"/>
  <c r="F6" i="11"/>
  <c r="G5" i="11"/>
  <c r="G6" i="11"/>
  <c r="H5" i="11"/>
  <c r="H6" i="11"/>
  <c r="I5" i="11"/>
  <c r="I6" i="11"/>
  <c r="J5" i="11"/>
  <c r="J6" i="11"/>
  <c r="K5" i="11"/>
  <c r="K6" i="11"/>
  <c r="K143" i="5"/>
  <c r="G143" i="5"/>
  <c r="H143" i="5"/>
  <c r="I143" i="5"/>
  <c r="J143" i="5"/>
  <c r="L143" i="5"/>
  <c r="G135" i="5"/>
  <c r="H135" i="5"/>
  <c r="I135" i="5"/>
  <c r="J135" i="5"/>
  <c r="K135" i="5"/>
  <c r="L135" i="5"/>
  <c r="J127" i="5"/>
  <c r="K127" i="5"/>
  <c r="L127" i="5"/>
  <c r="U64" i="1"/>
  <c r="V64" i="1"/>
  <c r="W64" i="1"/>
  <c r="X64" i="1"/>
  <c r="X78" i="1"/>
  <c r="L44" i="1"/>
  <c r="L45" i="1"/>
  <c r="L46" i="1"/>
  <c r="L50" i="1"/>
  <c r="L51" i="1"/>
  <c r="L43" i="1"/>
  <c r="L37" i="1"/>
  <c r="L38" i="1"/>
  <c r="L39" i="1"/>
  <c r="L40" i="1"/>
  <c r="L36" i="1"/>
  <c r="L33" i="1"/>
  <c r="L32" i="1"/>
  <c r="D5" i="7"/>
  <c r="J62" i="5"/>
  <c r="K62" i="5"/>
  <c r="L62" i="5"/>
  <c r="J54" i="5"/>
  <c r="K54" i="5"/>
  <c r="L54" i="5"/>
  <c r="J46" i="5"/>
  <c r="K46" i="5"/>
  <c r="L46" i="5"/>
  <c r="G30" i="11"/>
  <c r="T115" i="16"/>
  <c r="T65" i="1"/>
  <c r="T64" i="1"/>
  <c r="H224" i="5"/>
  <c r="H208" i="5"/>
  <c r="H127" i="5"/>
  <c r="H62" i="5"/>
  <c r="H54" i="5"/>
  <c r="H46" i="5"/>
  <c r="Q27" i="5"/>
  <c r="B34" i="4"/>
  <c r="B30" i="1"/>
  <c r="B41" i="1"/>
  <c r="I43" i="18"/>
  <c r="K43" i="18"/>
  <c r="M43" i="18"/>
  <c r="I44" i="18"/>
  <c r="K44" i="18"/>
  <c r="M44" i="18"/>
  <c r="I45" i="18"/>
  <c r="K45" i="18"/>
  <c r="M45" i="18"/>
  <c r="I46" i="18"/>
  <c r="K46" i="18"/>
  <c r="M46" i="18"/>
  <c r="I47" i="18"/>
  <c r="K47" i="18"/>
  <c r="M47" i="18"/>
  <c r="I33" i="18"/>
  <c r="K33" i="18"/>
  <c r="M33" i="18"/>
  <c r="I34" i="18"/>
  <c r="K34" i="18"/>
  <c r="M34" i="18"/>
  <c r="I35" i="18"/>
  <c r="K35" i="18"/>
  <c r="M35" i="18"/>
  <c r="I36" i="18"/>
  <c r="K36" i="18"/>
  <c r="M36" i="18"/>
  <c r="I37" i="18"/>
  <c r="K37" i="18"/>
  <c r="M37" i="18"/>
  <c r="M38" i="18"/>
  <c r="I23" i="18"/>
  <c r="K23" i="18"/>
  <c r="M23" i="18"/>
  <c r="I24" i="18"/>
  <c r="K24" i="18"/>
  <c r="M24" i="18"/>
  <c r="I25" i="18"/>
  <c r="K25" i="18"/>
  <c r="M25" i="18"/>
  <c r="I26" i="18"/>
  <c r="K26" i="18"/>
  <c r="M26" i="18"/>
  <c r="I27" i="18"/>
  <c r="K27" i="18"/>
  <c r="M27" i="18"/>
  <c r="I13" i="18"/>
  <c r="K13" i="18"/>
  <c r="M13" i="18"/>
  <c r="I14" i="18"/>
  <c r="K14" i="18"/>
  <c r="M14" i="18"/>
  <c r="I15" i="18"/>
  <c r="K15" i="18"/>
  <c r="M15" i="18"/>
  <c r="I16" i="18"/>
  <c r="K16" i="18"/>
  <c r="M16" i="18"/>
  <c r="I17" i="18"/>
  <c r="K17" i="18"/>
  <c r="M17" i="18"/>
  <c r="I3" i="18"/>
  <c r="K3" i="18"/>
  <c r="M3" i="18"/>
  <c r="I4" i="18"/>
  <c r="K4" i="18"/>
  <c r="M4" i="18"/>
  <c r="I5" i="18"/>
  <c r="K5" i="18"/>
  <c r="M5" i="18"/>
  <c r="I6" i="18"/>
  <c r="K6" i="18"/>
  <c r="M6" i="18"/>
  <c r="I7" i="18"/>
  <c r="K7" i="18"/>
  <c r="M7" i="18"/>
  <c r="Q67" i="15"/>
  <c r="O67" i="15"/>
  <c r="R67" i="14"/>
  <c r="Q67" i="13"/>
  <c r="O90" i="15"/>
  <c r="C30" i="1"/>
  <c r="C41" i="1"/>
  <c r="D30" i="1"/>
  <c r="D41" i="1"/>
  <c r="E30" i="1"/>
  <c r="E41" i="1"/>
  <c r="F30" i="1"/>
  <c r="F41" i="1"/>
  <c r="R3" i="19"/>
  <c r="R4" i="19"/>
  <c r="R5" i="19"/>
  <c r="R6" i="19"/>
  <c r="R7" i="19"/>
  <c r="N108" i="16"/>
  <c r="P85" i="15"/>
  <c r="R85" i="14"/>
  <c r="P65" i="11"/>
  <c r="B20" i="4"/>
  <c r="B29" i="4"/>
  <c r="B38" i="4"/>
  <c r="B45" i="4"/>
  <c r="B54" i="4"/>
  <c r="B20" i="7"/>
  <c r="B29" i="7"/>
  <c r="B34" i="7"/>
  <c r="B38" i="7"/>
  <c r="B45" i="7"/>
  <c r="B54" i="7"/>
  <c r="B20" i="8"/>
  <c r="B29" i="8"/>
  <c r="B34" i="8"/>
  <c r="B38" i="8"/>
  <c r="B45" i="8"/>
  <c r="B54" i="8"/>
  <c r="B20" i="9"/>
  <c r="B29" i="9"/>
  <c r="B34" i="9"/>
  <c r="B38" i="9"/>
  <c r="B45" i="9"/>
  <c r="B54" i="9"/>
  <c r="B20" i="10"/>
  <c r="B29" i="10"/>
  <c r="B34" i="10"/>
  <c r="B38" i="10"/>
  <c r="B45" i="10"/>
  <c r="B54" i="10"/>
  <c r="F20" i="10"/>
  <c r="F29" i="10"/>
  <c r="F34" i="10"/>
  <c r="F38" i="10"/>
  <c r="F45" i="10"/>
  <c r="F54" i="10"/>
  <c r="F20" i="9"/>
  <c r="F29" i="9"/>
  <c r="F34" i="9"/>
  <c r="F38" i="9"/>
  <c r="F45" i="9"/>
  <c r="F54" i="9"/>
  <c r="F20" i="8"/>
  <c r="F29" i="8"/>
  <c r="F34" i="8"/>
  <c r="F38" i="8"/>
  <c r="F45" i="8"/>
  <c r="F54" i="8"/>
  <c r="F20" i="7"/>
  <c r="F29" i="7"/>
  <c r="F34" i="7"/>
  <c r="F38" i="7"/>
  <c r="F45" i="7"/>
  <c r="F54" i="7"/>
  <c r="E20" i="4"/>
  <c r="E29" i="4"/>
  <c r="E34" i="4"/>
  <c r="E38" i="4"/>
  <c r="E45" i="4"/>
  <c r="E54" i="4"/>
  <c r="D20" i="4"/>
  <c r="D29" i="4"/>
  <c r="D34" i="4"/>
  <c r="D38" i="4"/>
  <c r="D45" i="4"/>
  <c r="D54" i="4"/>
  <c r="C20" i="4"/>
  <c r="C29" i="4"/>
  <c r="C30" i="4"/>
  <c r="C34" i="4"/>
  <c r="C38" i="4"/>
  <c r="C45" i="4"/>
  <c r="C54" i="4"/>
  <c r="A441" i="5"/>
  <c r="A360" i="5"/>
  <c r="A279" i="5"/>
  <c r="A198" i="5"/>
  <c r="A117" i="5"/>
  <c r="A12" i="5"/>
  <c r="C9" i="5"/>
  <c r="B76" i="5"/>
  <c r="B157" i="5"/>
  <c r="B238" i="5"/>
  <c r="B319" i="5"/>
  <c r="B400" i="5"/>
  <c r="B481" i="5"/>
  <c r="B98" i="5"/>
  <c r="B179" i="5"/>
  <c r="B260" i="5"/>
  <c r="B341" i="5"/>
  <c r="B422" i="5"/>
  <c r="B503" i="5"/>
  <c r="C20" i="7"/>
  <c r="C29" i="7"/>
  <c r="C34" i="7"/>
  <c r="C38" i="7"/>
  <c r="C45" i="7"/>
  <c r="C54" i="7"/>
  <c r="C20" i="8"/>
  <c r="C29" i="8"/>
  <c r="C34" i="8"/>
  <c r="C38" i="8"/>
  <c r="C45" i="8"/>
  <c r="C54" i="8"/>
  <c r="C20" i="9"/>
  <c r="C29" i="9"/>
  <c r="C34" i="9"/>
  <c r="C38" i="9"/>
  <c r="C45" i="9"/>
  <c r="C54" i="9"/>
  <c r="C20" i="10"/>
  <c r="C29" i="10"/>
  <c r="C34" i="10"/>
  <c r="C38" i="10"/>
  <c r="C45" i="10"/>
  <c r="C54" i="10"/>
  <c r="D20" i="7"/>
  <c r="D29" i="7"/>
  <c r="D34" i="7"/>
  <c r="D38" i="7"/>
  <c r="D45" i="7"/>
  <c r="D54" i="7"/>
  <c r="D20" i="8"/>
  <c r="D29" i="8"/>
  <c r="D34" i="8"/>
  <c r="D38" i="8"/>
  <c r="D45" i="8"/>
  <c r="D54" i="8"/>
  <c r="D20" i="9"/>
  <c r="D29" i="9"/>
  <c r="D34" i="9"/>
  <c r="D38" i="9"/>
  <c r="D45" i="9"/>
  <c r="D54" i="9"/>
  <c r="D20" i="10"/>
  <c r="D29" i="10"/>
  <c r="D34" i="10"/>
  <c r="D38" i="10"/>
  <c r="D45" i="10"/>
  <c r="D54" i="10"/>
  <c r="E20" i="7"/>
  <c r="E29" i="7"/>
  <c r="E30" i="7"/>
  <c r="E34" i="7"/>
  <c r="E38" i="7"/>
  <c r="E45" i="7"/>
  <c r="E54" i="7"/>
  <c r="E20" i="8"/>
  <c r="E29" i="8"/>
  <c r="E30" i="8"/>
  <c r="E34" i="8"/>
  <c r="E38" i="8"/>
  <c r="E45" i="8"/>
  <c r="E54" i="8"/>
  <c r="E20" i="9"/>
  <c r="E29" i="9"/>
  <c r="E34" i="9"/>
  <c r="E38" i="9"/>
  <c r="E45" i="9"/>
  <c r="E54" i="9"/>
  <c r="E20" i="10"/>
  <c r="E29" i="10"/>
  <c r="E34" i="10"/>
  <c r="E38" i="10"/>
  <c r="E45" i="10"/>
  <c r="E54" i="10"/>
  <c r="F20" i="4"/>
  <c r="F29" i="4"/>
  <c r="F34" i="4"/>
  <c r="F38" i="4"/>
  <c r="F45" i="4"/>
  <c r="F54" i="4"/>
  <c r="A324" i="5"/>
  <c r="L20" i="10"/>
  <c r="L29" i="10"/>
  <c r="L34" i="10"/>
  <c r="L38" i="10"/>
  <c r="L20" i="9"/>
  <c r="L29" i="9"/>
  <c r="L34" i="9"/>
  <c r="L38" i="9"/>
  <c r="L54" i="9"/>
  <c r="L20" i="8"/>
  <c r="L34" i="8"/>
  <c r="L38" i="8"/>
  <c r="L20" i="7"/>
  <c r="L34" i="7"/>
  <c r="L38" i="7"/>
  <c r="L45" i="7"/>
  <c r="L34" i="4"/>
  <c r="A5" i="15"/>
  <c r="A5" i="14"/>
  <c r="A5" i="13"/>
  <c r="A5" i="12"/>
  <c r="A5" i="11"/>
  <c r="A23" i="10"/>
  <c r="A22" i="10"/>
  <c r="A23" i="9"/>
  <c r="A22" i="9"/>
  <c r="A23" i="8"/>
  <c r="A22" i="8"/>
  <c r="A23" i="7"/>
  <c r="A22" i="7"/>
  <c r="A22" i="4"/>
  <c r="A278" i="5"/>
  <c r="N86" i="13"/>
  <c r="A197" i="5"/>
  <c r="N86" i="12"/>
  <c r="A440" i="5"/>
  <c r="N86" i="15"/>
  <c r="A359" i="5"/>
  <c r="N86" i="14"/>
  <c r="A116" i="5"/>
  <c r="N84" i="11"/>
  <c r="A35" i="5"/>
  <c r="N84" i="1"/>
  <c r="A36" i="5"/>
  <c r="A437" i="5"/>
  <c r="N81" i="15"/>
  <c r="A356" i="5"/>
  <c r="A275" i="5"/>
  <c r="N78" i="13"/>
  <c r="A194" i="5"/>
  <c r="N81" i="12"/>
  <c r="A113" i="5"/>
  <c r="A32" i="5"/>
  <c r="N79" i="1"/>
  <c r="AR12" i="5"/>
  <c r="A5" i="10"/>
  <c r="AR11" i="5"/>
  <c r="A5" i="9"/>
  <c r="AR10" i="5"/>
  <c r="A5" i="8"/>
  <c r="AR9" i="5"/>
  <c r="A5" i="7"/>
  <c r="AR8" i="5"/>
  <c r="A5" i="4"/>
  <c r="P115" i="16"/>
  <c r="Q115" i="16"/>
  <c r="R115" i="16"/>
  <c r="S115" i="16"/>
  <c r="O115" i="16"/>
  <c r="N106" i="16"/>
  <c r="N105" i="16"/>
  <c r="A68" i="16"/>
  <c r="A69" i="16"/>
  <c r="A70" i="16"/>
  <c r="A71" i="16"/>
  <c r="A67" i="16"/>
  <c r="A17" i="15"/>
  <c r="A26" i="15"/>
  <c r="A16" i="15"/>
  <c r="A15" i="15"/>
  <c r="A14" i="15"/>
  <c r="A25" i="15"/>
  <c r="A13" i="15"/>
  <c r="A24" i="15"/>
  <c r="A17" i="14"/>
  <c r="A26" i="14"/>
  <c r="A16" i="14"/>
  <c r="A15" i="14"/>
  <c r="A14" i="14"/>
  <c r="A25" i="14"/>
  <c r="A13" i="14"/>
  <c r="A24" i="14"/>
  <c r="A17" i="13"/>
  <c r="A26" i="13"/>
  <c r="A16" i="13"/>
  <c r="A15" i="13"/>
  <c r="A14" i="13"/>
  <c r="A25" i="13"/>
  <c r="A13" i="13"/>
  <c r="A24" i="13"/>
  <c r="A17" i="12"/>
  <c r="A26" i="12"/>
  <c r="A16" i="12"/>
  <c r="A15" i="12"/>
  <c r="A14" i="12"/>
  <c r="A25" i="12"/>
  <c r="A13" i="12"/>
  <c r="A24" i="12"/>
  <c r="A17" i="11"/>
  <c r="A25" i="11"/>
  <c r="A16" i="11"/>
  <c r="A15" i="11"/>
  <c r="A14" i="11"/>
  <c r="A24" i="11"/>
  <c r="A13" i="11"/>
  <c r="A23" i="11"/>
  <c r="A2" i="16"/>
  <c r="A1" i="16"/>
  <c r="A83" i="16"/>
  <c r="A72" i="16"/>
  <c r="A65" i="16"/>
  <c r="A61" i="16"/>
  <c r="A57" i="16"/>
  <c r="A33" i="16"/>
  <c r="A26" i="16"/>
  <c r="A34" i="5"/>
  <c r="N81" i="1"/>
  <c r="A33" i="5"/>
  <c r="N80" i="1"/>
  <c r="A115" i="5"/>
  <c r="N81" i="11"/>
  <c r="A114" i="5"/>
  <c r="N80" i="11"/>
  <c r="A196" i="5"/>
  <c r="N83" i="12"/>
  <c r="A195" i="5"/>
  <c r="N82" i="12"/>
  <c r="A277" i="5"/>
  <c r="N83" i="13"/>
  <c r="A276" i="5"/>
  <c r="N82" i="13"/>
  <c r="A358" i="5"/>
  <c r="N83" i="14"/>
  <c r="A357" i="5"/>
  <c r="N82" i="14"/>
  <c r="A439" i="5"/>
  <c r="N83" i="15"/>
  <c r="A438" i="5"/>
  <c r="N82" i="15"/>
  <c r="R465" i="5"/>
  <c r="R384" i="5"/>
  <c r="R303" i="5"/>
  <c r="R222" i="5"/>
  <c r="R141" i="5"/>
  <c r="R60" i="5"/>
  <c r="B427" i="5"/>
  <c r="A447" i="5"/>
  <c r="A8" i="15"/>
  <c r="A503" i="5"/>
  <c r="A501" i="5"/>
  <c r="A481" i="5"/>
  <c r="A479" i="5"/>
  <c r="A474" i="5"/>
  <c r="A472" i="5"/>
  <c r="D467" i="5"/>
  <c r="C467" i="5"/>
  <c r="B467" i="5"/>
  <c r="B466" i="5"/>
  <c r="B468" i="5"/>
  <c r="A466" i="5"/>
  <c r="A464" i="5"/>
  <c r="A463" i="5"/>
  <c r="A10" i="15"/>
  <c r="A462" i="5"/>
  <c r="D459" i="5"/>
  <c r="C459" i="5"/>
  <c r="B459" i="5"/>
  <c r="B458" i="5"/>
  <c r="B460" i="5"/>
  <c r="A458" i="5"/>
  <c r="A456" i="5"/>
  <c r="A455" i="5"/>
  <c r="A9" i="15"/>
  <c r="A454" i="5"/>
  <c r="D451" i="5"/>
  <c r="C451" i="5"/>
  <c r="B451" i="5"/>
  <c r="B450" i="5"/>
  <c r="B452" i="5"/>
  <c r="A450" i="5"/>
  <c r="A448" i="5"/>
  <c r="A446" i="5"/>
  <c r="B346" i="5"/>
  <c r="A366" i="5"/>
  <c r="A8" i="14"/>
  <c r="A20" i="16"/>
  <c r="A48" i="16"/>
  <c r="A422" i="5"/>
  <c r="A420" i="5"/>
  <c r="A400" i="5"/>
  <c r="A398" i="5"/>
  <c r="A393" i="5"/>
  <c r="A391" i="5"/>
  <c r="D386" i="5"/>
  <c r="C386" i="5"/>
  <c r="B386" i="5"/>
  <c r="B385" i="5"/>
  <c r="B387" i="5"/>
  <c r="A385" i="5"/>
  <c r="A383" i="5"/>
  <c r="A382" i="5"/>
  <c r="A10" i="14"/>
  <c r="A23" i="14"/>
  <c r="A381" i="5"/>
  <c r="D378" i="5"/>
  <c r="C378" i="5"/>
  <c r="B378" i="5"/>
  <c r="B377" i="5"/>
  <c r="B379" i="5"/>
  <c r="A377" i="5"/>
  <c r="A375" i="5"/>
  <c r="A374" i="5"/>
  <c r="A9" i="14"/>
  <c r="A21" i="16"/>
  <c r="A49" i="16"/>
  <c r="A373" i="5"/>
  <c r="F370" i="5"/>
  <c r="E370" i="5"/>
  <c r="D370" i="5"/>
  <c r="C370" i="5"/>
  <c r="B370" i="5"/>
  <c r="B369" i="5"/>
  <c r="B371" i="5"/>
  <c r="A369" i="5"/>
  <c r="A367" i="5"/>
  <c r="A365" i="5"/>
  <c r="B265" i="5"/>
  <c r="A285" i="5"/>
  <c r="A8" i="13"/>
  <c r="A300" i="5"/>
  <c r="A219" i="5"/>
  <c r="A57" i="5"/>
  <c r="A138" i="5"/>
  <c r="A341" i="5"/>
  <c r="A339" i="5"/>
  <c r="A319" i="5"/>
  <c r="A317" i="5"/>
  <c r="A312" i="5"/>
  <c r="A310" i="5"/>
  <c r="D305" i="5"/>
  <c r="C305" i="5"/>
  <c r="B305" i="5"/>
  <c r="B304" i="5"/>
  <c r="B306" i="5"/>
  <c r="A304" i="5"/>
  <c r="A302" i="5"/>
  <c r="A301" i="5"/>
  <c r="A10" i="13"/>
  <c r="F297" i="5"/>
  <c r="E297" i="5"/>
  <c r="D297" i="5"/>
  <c r="C297" i="5"/>
  <c r="B297" i="5"/>
  <c r="B296" i="5"/>
  <c r="B298" i="5"/>
  <c r="A296" i="5"/>
  <c r="A294" i="5"/>
  <c r="A293" i="5"/>
  <c r="A9" i="13"/>
  <c r="A18" i="16"/>
  <c r="A46" i="16"/>
  <c r="A292" i="5"/>
  <c r="G289" i="5"/>
  <c r="F289" i="5"/>
  <c r="E289" i="5"/>
  <c r="D289" i="5"/>
  <c r="C289" i="5"/>
  <c r="B289" i="5"/>
  <c r="B288" i="5"/>
  <c r="B290" i="5"/>
  <c r="A288" i="5"/>
  <c r="A286" i="5"/>
  <c r="A284" i="5"/>
  <c r="AR2" i="5"/>
  <c r="P124" i="16"/>
  <c r="B22" i="5"/>
  <c r="A42" i="5"/>
  <c r="A8" i="1"/>
  <c r="B184" i="5"/>
  <c r="A204" i="5"/>
  <c r="A8" i="12"/>
  <c r="A14" i="16"/>
  <c r="A42" i="16"/>
  <c r="A260" i="5"/>
  <c r="A258" i="5"/>
  <c r="A238" i="5"/>
  <c r="A236" i="5"/>
  <c r="A231" i="5"/>
  <c r="A229" i="5"/>
  <c r="G224" i="5"/>
  <c r="F224" i="5"/>
  <c r="E224" i="5"/>
  <c r="D224" i="5"/>
  <c r="C224" i="5"/>
  <c r="B224" i="5"/>
  <c r="B223" i="5"/>
  <c r="B225" i="5"/>
  <c r="A223" i="5"/>
  <c r="A221" i="5"/>
  <c r="A220" i="5"/>
  <c r="A10" i="12"/>
  <c r="A23" i="12"/>
  <c r="F216" i="5"/>
  <c r="E216" i="5"/>
  <c r="D216" i="5"/>
  <c r="C216" i="5"/>
  <c r="B216" i="5"/>
  <c r="B215" i="5"/>
  <c r="B217" i="5"/>
  <c r="A215" i="5"/>
  <c r="A213" i="5"/>
  <c r="A212" i="5"/>
  <c r="A9" i="12"/>
  <c r="A211" i="5"/>
  <c r="I208" i="5"/>
  <c r="G208" i="5"/>
  <c r="F208" i="5"/>
  <c r="E208" i="5"/>
  <c r="D208" i="5"/>
  <c r="C208" i="5"/>
  <c r="B208" i="5"/>
  <c r="B207" i="5"/>
  <c r="B209" i="5"/>
  <c r="A207" i="5"/>
  <c r="A205" i="5"/>
  <c r="A203" i="5"/>
  <c r="A139" i="5"/>
  <c r="A10" i="11"/>
  <c r="A131" i="5"/>
  <c r="A9" i="11"/>
  <c r="A21" i="11"/>
  <c r="B103" i="5"/>
  <c r="A123" i="5"/>
  <c r="A8" i="11"/>
  <c r="A179" i="5"/>
  <c r="A177" i="5"/>
  <c r="A157" i="5"/>
  <c r="A155" i="5"/>
  <c r="A150" i="5"/>
  <c r="A148" i="5"/>
  <c r="F143" i="5"/>
  <c r="E143" i="5"/>
  <c r="D143" i="5"/>
  <c r="C143" i="5"/>
  <c r="B143" i="5"/>
  <c r="B142" i="5"/>
  <c r="B144" i="5"/>
  <c r="A142" i="5"/>
  <c r="A140" i="5"/>
  <c r="F135" i="5"/>
  <c r="E135" i="5"/>
  <c r="D135" i="5"/>
  <c r="C135" i="5"/>
  <c r="B135" i="5"/>
  <c r="B134" i="5"/>
  <c r="B136" i="5"/>
  <c r="A134" i="5"/>
  <c r="A132" i="5"/>
  <c r="A130" i="5"/>
  <c r="I127" i="5"/>
  <c r="G127" i="5"/>
  <c r="F127" i="5"/>
  <c r="E127" i="5"/>
  <c r="D127" i="5"/>
  <c r="C127" i="5"/>
  <c r="B127" i="5"/>
  <c r="B126" i="5"/>
  <c r="B128" i="5"/>
  <c r="A126" i="5"/>
  <c r="A124" i="5"/>
  <c r="A122" i="5"/>
  <c r="AR7" i="5"/>
  <c r="A19" i="5"/>
  <c r="A4" i="15"/>
  <c r="AR6" i="5"/>
  <c r="P128" i="16"/>
  <c r="AR5" i="5"/>
  <c r="A17" i="5"/>
  <c r="AR4" i="5"/>
  <c r="A16" i="5"/>
  <c r="AR3" i="5"/>
  <c r="A15" i="5"/>
  <c r="A54" i="15"/>
  <c r="A43" i="15"/>
  <c r="A36" i="15"/>
  <c r="L36" i="15"/>
  <c r="N88" i="15"/>
  <c r="A32" i="15"/>
  <c r="L32" i="15"/>
  <c r="A27" i="15"/>
  <c r="A19" i="15"/>
  <c r="S66" i="15"/>
  <c r="R66" i="15"/>
  <c r="Q66" i="15"/>
  <c r="P66" i="15"/>
  <c r="O66" i="15"/>
  <c r="A11" i="15"/>
  <c r="A2" i="15"/>
  <c r="A1" i="15"/>
  <c r="A54" i="14"/>
  <c r="A43" i="14"/>
  <c r="A36" i="14"/>
  <c r="N88" i="14"/>
  <c r="A32" i="14"/>
  <c r="A27" i="14"/>
  <c r="A19" i="14"/>
  <c r="S66" i="14"/>
  <c r="R66" i="14"/>
  <c r="Q66" i="14"/>
  <c r="P66" i="14"/>
  <c r="O66" i="14"/>
  <c r="A11" i="14"/>
  <c r="A2" i="14"/>
  <c r="A1" i="14"/>
  <c r="A54" i="13"/>
  <c r="A43" i="13"/>
  <c r="A36" i="13"/>
  <c r="N88" i="13"/>
  <c r="A32" i="13"/>
  <c r="A27" i="13"/>
  <c r="A19" i="13"/>
  <c r="S66" i="13"/>
  <c r="R66" i="13"/>
  <c r="Q66" i="13"/>
  <c r="P66" i="13"/>
  <c r="O66" i="13"/>
  <c r="A11" i="13"/>
  <c r="A2" i="13"/>
  <c r="A1" i="13"/>
  <c r="A54" i="12"/>
  <c r="A43" i="12"/>
  <c r="L43" i="12"/>
  <c r="A36" i="12"/>
  <c r="N88" i="12"/>
  <c r="A32" i="12"/>
  <c r="L32" i="12"/>
  <c r="A27" i="12"/>
  <c r="A19" i="12"/>
  <c r="S66" i="12"/>
  <c r="R66" i="12"/>
  <c r="Q66" i="12"/>
  <c r="P66" i="12"/>
  <c r="O66" i="12"/>
  <c r="A11" i="12"/>
  <c r="A2" i="12"/>
  <c r="A1" i="12"/>
  <c r="S65" i="11"/>
  <c r="L36" i="14"/>
  <c r="L32" i="14"/>
  <c r="L43" i="14"/>
  <c r="L36" i="13"/>
  <c r="L43" i="13"/>
  <c r="L32" i="13"/>
  <c r="L36" i="12"/>
  <c r="A52" i="11"/>
  <c r="A41" i="11"/>
  <c r="L41" i="11"/>
  <c r="A34" i="11"/>
  <c r="L34" i="11"/>
  <c r="N86" i="11"/>
  <c r="A30" i="11"/>
  <c r="A26" i="11"/>
  <c r="A18" i="11"/>
  <c r="S64" i="11"/>
  <c r="R64" i="11"/>
  <c r="Q64" i="11"/>
  <c r="P64" i="11"/>
  <c r="O64" i="11"/>
  <c r="A11" i="11"/>
  <c r="A2" i="11"/>
  <c r="A1" i="11"/>
  <c r="L30" i="11"/>
  <c r="A20" i="10"/>
  <c r="A20" i="9"/>
  <c r="A20" i="8"/>
  <c r="A20" i="7"/>
  <c r="A20" i="4"/>
  <c r="A12" i="10"/>
  <c r="B30" i="9"/>
  <c r="A12" i="9"/>
  <c r="B30" i="8"/>
  <c r="A12" i="8"/>
  <c r="A12" i="7"/>
  <c r="A12" i="4"/>
  <c r="A18" i="1"/>
  <c r="A58" i="5"/>
  <c r="A10" i="1"/>
  <c r="A22" i="1"/>
  <c r="B53" i="5"/>
  <c r="B55" i="5"/>
  <c r="A17" i="1"/>
  <c r="A25" i="1"/>
  <c r="A14" i="1"/>
  <c r="A24" i="1"/>
  <c r="A13" i="1"/>
  <c r="A28" i="16"/>
  <c r="A54" i="16"/>
  <c r="A50" i="5"/>
  <c r="A9" i="1"/>
  <c r="A16" i="1"/>
  <c r="A31" i="16"/>
  <c r="A98" i="5"/>
  <c r="A15" i="1"/>
  <c r="A30" i="16"/>
  <c r="A11" i="1"/>
  <c r="N86" i="1"/>
  <c r="P64" i="1"/>
  <c r="Q64" i="1"/>
  <c r="R64" i="1"/>
  <c r="S64" i="1"/>
  <c r="O64" i="1"/>
  <c r="A41" i="5"/>
  <c r="B62" i="5"/>
  <c r="C62" i="5"/>
  <c r="D62" i="5"/>
  <c r="E62" i="5"/>
  <c r="F62" i="5"/>
  <c r="G62" i="5"/>
  <c r="I62" i="5"/>
  <c r="B61" i="5"/>
  <c r="B63" i="5"/>
  <c r="A74" i="5"/>
  <c r="A26" i="1"/>
  <c r="A96" i="5"/>
  <c r="A76" i="5"/>
  <c r="A69" i="5"/>
  <c r="A67" i="5"/>
  <c r="A61" i="5"/>
  <c r="A59" i="5"/>
  <c r="I54" i="5"/>
  <c r="G54" i="5"/>
  <c r="F54" i="5"/>
  <c r="E54" i="5"/>
  <c r="D54" i="5"/>
  <c r="C54" i="5"/>
  <c r="B54" i="5"/>
  <c r="A53" i="5"/>
  <c r="A51" i="5"/>
  <c r="A49" i="5"/>
  <c r="B45" i="5"/>
  <c r="B47" i="5"/>
  <c r="I46" i="5"/>
  <c r="G46" i="5"/>
  <c r="F46" i="5"/>
  <c r="E46" i="5"/>
  <c r="D46" i="5"/>
  <c r="C46" i="5"/>
  <c r="B46" i="5"/>
  <c r="A45" i="5"/>
  <c r="A43" i="5"/>
  <c r="A2" i="1"/>
  <c r="A2" i="8"/>
  <c r="A2" i="7"/>
  <c r="A1" i="1"/>
  <c r="A1" i="9"/>
  <c r="A5" i="1"/>
  <c r="A52" i="1"/>
  <c r="A41" i="1"/>
  <c r="A34" i="1"/>
  <c r="A30" i="1"/>
  <c r="N85" i="12"/>
  <c r="O89" i="14"/>
  <c r="N78" i="15"/>
  <c r="N81" i="13"/>
  <c r="L54" i="4"/>
  <c r="O90" i="14"/>
  <c r="N78" i="12"/>
  <c r="L29" i="1"/>
  <c r="A29" i="16"/>
  <c r="A55" i="16"/>
  <c r="P67" i="12"/>
  <c r="R107" i="16"/>
  <c r="A1" i="8"/>
  <c r="P67" i="14"/>
  <c r="O67" i="13"/>
  <c r="P22" i="5"/>
  <c r="S65" i="1"/>
  <c r="A1" i="10"/>
  <c r="P23" i="5"/>
  <c r="P21" i="5"/>
  <c r="Q65" i="11"/>
  <c r="R67" i="12"/>
  <c r="A15" i="16"/>
  <c r="A43" i="16"/>
  <c r="A22" i="12"/>
  <c r="S67" i="15"/>
  <c r="A2" i="4"/>
  <c r="R67" i="13"/>
  <c r="O67" i="14"/>
  <c r="P67" i="15"/>
  <c r="A2" i="10"/>
  <c r="Q67" i="12"/>
  <c r="R67" i="15"/>
  <c r="S67" i="14"/>
  <c r="O65" i="11"/>
  <c r="L30" i="1"/>
  <c r="L34" i="1"/>
  <c r="A2" i="9"/>
  <c r="L61" i="16"/>
  <c r="A244" i="5"/>
  <c r="A323" i="5"/>
  <c r="A82" i="5"/>
  <c r="A163" i="5"/>
  <c r="A405" i="5"/>
  <c r="A161" i="5"/>
  <c r="A242" i="5"/>
  <c r="A325" i="5"/>
  <c r="A485" i="5"/>
  <c r="A11" i="16"/>
  <c r="A39" i="16"/>
  <c r="A20" i="11"/>
  <c r="N79" i="11"/>
  <c r="N76" i="11"/>
  <c r="A19" i="16"/>
  <c r="A47" i="16"/>
  <c r="A23" i="13"/>
  <c r="R65" i="11"/>
  <c r="R65" i="1"/>
  <c r="R116" i="16"/>
  <c r="Q67" i="14"/>
  <c r="A16" i="16"/>
  <c r="A44" i="16"/>
  <c r="N78" i="14"/>
  <c r="N81" i="14"/>
  <c r="P67" i="13"/>
  <c r="S67" i="13"/>
  <c r="S67" i="12"/>
  <c r="S116" i="16"/>
  <c r="B12" i="5"/>
  <c r="A32" i="16"/>
  <c r="A56" i="16"/>
  <c r="A23" i="1"/>
  <c r="A5" i="16"/>
  <c r="O112" i="16"/>
  <c r="O87" i="1"/>
  <c r="O111" i="16"/>
  <c r="A1" i="7"/>
  <c r="L41" i="1"/>
  <c r="P65" i="1"/>
  <c r="P85" i="13"/>
  <c r="O88" i="11"/>
  <c r="O87" i="11"/>
  <c r="O89" i="12"/>
  <c r="O88" i="1"/>
  <c r="O90" i="12"/>
  <c r="O89" i="15"/>
  <c r="O91" i="15"/>
  <c r="O90" i="13"/>
  <c r="O89" i="13"/>
  <c r="Q85" i="13"/>
  <c r="Q85" i="15"/>
  <c r="T85" i="12"/>
  <c r="Q85" i="12"/>
  <c r="Q22" i="5"/>
  <c r="Q21" i="5"/>
  <c r="Q23" i="5"/>
  <c r="A21" i="1"/>
  <c r="A9" i="16"/>
  <c r="A37" i="16"/>
  <c r="Q116" i="16"/>
  <c r="A17" i="16"/>
  <c r="A45" i="16"/>
  <c r="A21" i="13"/>
  <c r="N107" i="16"/>
  <c r="N85" i="13"/>
  <c r="N83" i="11"/>
  <c r="N85" i="15"/>
  <c r="N85" i="14"/>
  <c r="N83" i="1"/>
  <c r="L54" i="7"/>
  <c r="L45" i="8"/>
  <c r="L54" i="10"/>
  <c r="L45" i="10"/>
  <c r="L65" i="16"/>
  <c r="B5" i="8"/>
  <c r="B5" i="9"/>
  <c r="B5" i="7"/>
  <c r="A21" i="12"/>
  <c r="L38" i="4"/>
  <c r="C10" i="5"/>
  <c r="R8" i="19"/>
  <c r="P85" i="12"/>
  <c r="P85" i="14"/>
  <c r="B5" i="10"/>
  <c r="B5" i="4"/>
  <c r="P107" i="16"/>
  <c r="L43" i="15"/>
  <c r="L45" i="4"/>
  <c r="L54" i="8"/>
  <c r="L45" i="9"/>
  <c r="A1" i="4"/>
  <c r="P116" i="16"/>
  <c r="L72" i="16"/>
  <c r="O77" i="13"/>
  <c r="O75" i="1"/>
  <c r="O77" i="14"/>
  <c r="O77" i="12"/>
  <c r="O75" i="11"/>
  <c r="O77" i="15"/>
  <c r="R80" i="12"/>
  <c r="B6" i="10"/>
  <c r="B6" i="7"/>
  <c r="B6" i="4"/>
  <c r="B6" i="8"/>
  <c r="B6" i="9"/>
  <c r="C5" i="9"/>
  <c r="C5" i="4"/>
  <c r="C5" i="10"/>
  <c r="C6" i="4"/>
  <c r="C6" i="10"/>
  <c r="C6" i="9"/>
  <c r="D5" i="4"/>
  <c r="D5" i="10"/>
  <c r="B55" i="9"/>
  <c r="B57" i="9"/>
  <c r="B63" i="9"/>
  <c r="D30" i="9"/>
  <c r="D30" i="10"/>
  <c r="C55" i="7"/>
  <c r="C57" i="7"/>
  <c r="B55" i="7"/>
  <c r="B57" i="7"/>
  <c r="B63" i="7"/>
  <c r="K97" i="16"/>
  <c r="D55" i="10"/>
  <c r="D57" i="10"/>
  <c r="D55" i="8"/>
  <c r="D57" i="8"/>
  <c r="D30" i="7"/>
  <c r="D55" i="4"/>
  <c r="D57" i="4"/>
  <c r="C30" i="9"/>
  <c r="F30" i="10"/>
  <c r="D30" i="8"/>
  <c r="C55" i="8"/>
  <c r="C57" i="8"/>
  <c r="B30" i="10"/>
  <c r="E55" i="10"/>
  <c r="E57" i="10"/>
  <c r="C55" i="10"/>
  <c r="C57" i="10"/>
  <c r="F55" i="9"/>
  <c r="F57" i="9"/>
  <c r="J63" i="9"/>
  <c r="J64" i="9"/>
  <c r="J66" i="9"/>
  <c r="E30" i="9"/>
  <c r="B55" i="10"/>
  <c r="B57" i="10"/>
  <c r="B63" i="10"/>
  <c r="K66" i="4"/>
  <c r="C55" i="9"/>
  <c r="C57" i="9"/>
  <c r="C55" i="4"/>
  <c r="C57" i="4"/>
  <c r="F30" i="4"/>
  <c r="E55" i="4"/>
  <c r="E57" i="4"/>
  <c r="F55" i="7"/>
  <c r="F57" i="7"/>
  <c r="J63" i="7"/>
  <c r="F30" i="8"/>
  <c r="F55" i="10"/>
  <c r="F57" i="10"/>
  <c r="J63" i="10"/>
  <c r="B55" i="4"/>
  <c r="B57" i="4"/>
  <c r="C30" i="7"/>
  <c r="E30" i="10"/>
  <c r="F30" i="9"/>
  <c r="E55" i="8"/>
  <c r="E57" i="8"/>
  <c r="C30" i="8"/>
  <c r="C30" i="10"/>
  <c r="D55" i="9"/>
  <c r="D57" i="9"/>
  <c r="F30" i="7"/>
  <c r="B55" i="8"/>
  <c r="B57" i="8"/>
  <c r="E55" i="7"/>
  <c r="E57" i="7"/>
  <c r="F55" i="8"/>
  <c r="F57" i="8"/>
  <c r="J63" i="8"/>
  <c r="E55" i="9"/>
  <c r="E57" i="9"/>
  <c r="D55" i="7"/>
  <c r="D57" i="7"/>
  <c r="L29" i="7"/>
  <c r="L55" i="7"/>
  <c r="L29" i="8"/>
  <c r="L30" i="8"/>
  <c r="F55" i="4"/>
  <c r="F57" i="4"/>
  <c r="B30" i="4"/>
  <c r="L20" i="4"/>
  <c r="D30" i="4"/>
  <c r="E30" i="4"/>
  <c r="L29" i="4"/>
  <c r="A8" i="16"/>
  <c r="A36" i="16"/>
  <c r="A20" i="1"/>
  <c r="M28" i="18"/>
  <c r="A22" i="15"/>
  <c r="A24" i="16"/>
  <c r="A52" i="16"/>
  <c r="A25" i="16"/>
  <c r="A53" i="16"/>
  <c r="A23" i="15"/>
  <c r="L30" i="10"/>
  <c r="L55" i="10"/>
  <c r="A13" i="16"/>
  <c r="A41" i="16"/>
  <c r="A22" i="11"/>
  <c r="A23" i="16"/>
  <c r="A51" i="16"/>
  <c r="A21" i="15"/>
  <c r="L55" i="9"/>
  <c r="L30" i="9"/>
  <c r="M8" i="18"/>
  <c r="M18" i="18"/>
  <c r="W67" i="12"/>
  <c r="B30" i="7"/>
  <c r="D209" i="5"/>
  <c r="E205" i="5"/>
  <c r="V67" i="14"/>
  <c r="T116" i="16"/>
  <c r="V116" i="16"/>
  <c r="E213" i="5"/>
  <c r="D217" i="5"/>
  <c r="M48" i="18"/>
  <c r="L59" i="11"/>
  <c r="O116" i="16"/>
  <c r="D335" i="5"/>
  <c r="D16" i="13"/>
  <c r="C335" i="5"/>
  <c r="C16" i="13"/>
  <c r="B203" i="5"/>
  <c r="B201" i="5"/>
  <c r="W116" i="16"/>
  <c r="U116" i="16"/>
  <c r="B497" i="5"/>
  <c r="B16" i="15"/>
  <c r="B462" i="5"/>
  <c r="C500" i="5"/>
  <c r="B381" i="5"/>
  <c r="C419" i="5"/>
  <c r="B300" i="5"/>
  <c r="C338" i="5"/>
  <c r="B219" i="5"/>
  <c r="C228" i="5"/>
  <c r="B138" i="5"/>
  <c r="C176" i="5"/>
  <c r="B57" i="5"/>
  <c r="C95" i="5"/>
  <c r="E88" i="5"/>
  <c r="C91" i="5"/>
  <c r="E328" i="5"/>
  <c r="E383" i="5"/>
  <c r="B416" i="5"/>
  <c r="B16" i="14"/>
  <c r="B335" i="5"/>
  <c r="B16" i="13"/>
  <c r="H294" i="5"/>
  <c r="B446" i="5"/>
  <c r="B444" i="5"/>
  <c r="B365" i="5"/>
  <c r="B363" i="5"/>
  <c r="B284" i="5"/>
  <c r="B282" i="5"/>
  <c r="B122" i="5"/>
  <c r="B120" i="5"/>
  <c r="B39" i="5"/>
  <c r="T107" i="16"/>
  <c r="T85" i="13"/>
  <c r="P83" i="11"/>
  <c r="N76" i="1"/>
  <c r="A22" i="13"/>
  <c r="A22" i="14"/>
  <c r="E209" i="5"/>
  <c r="F205" i="5"/>
  <c r="C415" i="5"/>
  <c r="D409" i="5"/>
  <c r="C412" i="5"/>
  <c r="O89" i="1"/>
  <c r="A21" i="14"/>
  <c r="E490" i="5"/>
  <c r="D493" i="5"/>
  <c r="D496" i="5"/>
  <c r="D497" i="5"/>
  <c r="D16" i="15"/>
  <c r="O113" i="16"/>
  <c r="A10" i="16"/>
  <c r="A38" i="16"/>
  <c r="A22" i="16"/>
  <c r="A50" i="16"/>
  <c r="O10" i="5"/>
  <c r="P10" i="5"/>
  <c r="Q10" i="5"/>
  <c r="R10" i="5"/>
  <c r="S10" i="5"/>
  <c r="N10" i="5"/>
  <c r="O91" i="13"/>
  <c r="A12" i="16"/>
  <c r="A40" i="16"/>
  <c r="X116" i="16"/>
  <c r="D50" i="5"/>
  <c r="D301" i="5"/>
  <c r="D382" i="5"/>
  <c r="D463" i="5"/>
  <c r="D220" i="5"/>
  <c r="D316" i="5"/>
  <c r="D293" i="5"/>
  <c r="D397" i="5"/>
  <c r="D374" i="5"/>
  <c r="D478" i="5"/>
  <c r="D455" i="5"/>
  <c r="D42" i="5"/>
  <c r="D139" i="5"/>
  <c r="D235" i="5"/>
  <c r="D212" i="5"/>
  <c r="D285" i="5"/>
  <c r="D366" i="5"/>
  <c r="D447" i="5"/>
  <c r="D73" i="5"/>
  <c r="D154" i="5"/>
  <c r="D131" i="5"/>
  <c r="D204" i="5"/>
  <c r="D123" i="5"/>
  <c r="D309" i="5"/>
  <c r="D338" i="5"/>
  <c r="D390" i="5"/>
  <c r="D419" i="5"/>
  <c r="D471" i="5"/>
  <c r="D500" i="5"/>
  <c r="D228" i="5"/>
  <c r="D257" i="5"/>
  <c r="D58" i="5"/>
  <c r="D176" i="5"/>
  <c r="D95" i="5"/>
  <c r="D147" i="5"/>
  <c r="D66" i="5"/>
  <c r="D172" i="5"/>
  <c r="E166" i="5"/>
  <c r="D169" i="5"/>
  <c r="D173" i="5"/>
  <c r="D16" i="11"/>
  <c r="E306" i="5"/>
  <c r="F302" i="5"/>
  <c r="E124" i="5"/>
  <c r="D247" i="5"/>
  <c r="C452" i="5"/>
  <c r="D448" i="5"/>
  <c r="T388" i="5"/>
  <c r="D91" i="5"/>
  <c r="D92" i="5"/>
  <c r="D16" i="1"/>
  <c r="C92" i="5"/>
  <c r="C16" i="1"/>
  <c r="C172" i="5"/>
  <c r="C173" i="5"/>
  <c r="C16" i="11"/>
  <c r="C253" i="5"/>
  <c r="C254" i="5"/>
  <c r="C16" i="12"/>
  <c r="E132" i="5"/>
  <c r="E91" i="5"/>
  <c r="E92" i="5"/>
  <c r="E16" i="1"/>
  <c r="E286" i="5"/>
  <c r="D225" i="5"/>
  <c r="E221" i="5"/>
  <c r="R86" i="12"/>
  <c r="E464" i="5"/>
  <c r="D63" i="5"/>
  <c r="D379" i="5"/>
  <c r="E375" i="5"/>
  <c r="T226" i="5"/>
  <c r="T145" i="5"/>
  <c r="T469" i="5"/>
  <c r="C371" i="5"/>
  <c r="D367" i="5"/>
  <c r="C55" i="5"/>
  <c r="E88" i="16"/>
  <c r="B86" i="16"/>
  <c r="O108" i="16"/>
  <c r="C86" i="16"/>
  <c r="P108" i="16"/>
  <c r="Q108" i="16"/>
  <c r="F88" i="16"/>
  <c r="R108" i="16"/>
  <c r="B88" i="16"/>
  <c r="H86" i="16"/>
  <c r="F86" i="16"/>
  <c r="H88" i="16"/>
  <c r="T108" i="16"/>
  <c r="J86" i="16"/>
  <c r="K88" i="16"/>
  <c r="D86" i="16"/>
  <c r="J88" i="16"/>
  <c r="C88" i="16"/>
  <c r="D88" i="16"/>
  <c r="S108" i="16"/>
  <c r="G88" i="16"/>
  <c r="I86" i="16"/>
  <c r="C144" i="5"/>
  <c r="G86" i="16"/>
  <c r="E456" i="5"/>
  <c r="C209" i="5"/>
  <c r="C460" i="5"/>
  <c r="C379" i="5"/>
  <c r="S226" i="5"/>
  <c r="I88" i="16"/>
  <c r="C290" i="5"/>
  <c r="C468" i="5"/>
  <c r="C136" i="5"/>
  <c r="C387" i="5"/>
  <c r="C128" i="5"/>
  <c r="C306" i="5"/>
  <c r="C225" i="5"/>
  <c r="C298" i="5"/>
  <c r="C217" i="5"/>
  <c r="S388" i="5"/>
  <c r="S469" i="5"/>
  <c r="E140" i="5"/>
  <c r="C63" i="5"/>
  <c r="S145" i="5"/>
  <c r="S307" i="5"/>
  <c r="E86" i="16"/>
  <c r="L61" i="11"/>
  <c r="B92" i="5"/>
  <c r="B16" i="1"/>
  <c r="R78" i="1"/>
  <c r="R80" i="13"/>
  <c r="O89" i="11"/>
  <c r="R86" i="13"/>
  <c r="R82" i="15"/>
  <c r="R80" i="14"/>
  <c r="R84" i="11"/>
  <c r="R83" i="13"/>
  <c r="R81" i="11"/>
  <c r="V72" i="5"/>
  <c r="V153" i="5"/>
  <c r="V234" i="5"/>
  <c r="V315" i="5"/>
  <c r="V396" i="5"/>
  <c r="V477" i="5"/>
  <c r="L63" i="14"/>
  <c r="L63" i="15"/>
  <c r="R86" i="15"/>
  <c r="R82" i="14"/>
  <c r="R80" i="15"/>
  <c r="O91" i="12"/>
  <c r="R86" i="14"/>
  <c r="D99" i="16"/>
  <c r="L61" i="1"/>
  <c r="R85" i="12"/>
  <c r="R85" i="13"/>
  <c r="R83" i="11"/>
  <c r="R85" i="15"/>
  <c r="R83" i="1"/>
  <c r="O86" i="15"/>
  <c r="O83" i="15"/>
  <c r="W80" i="14"/>
  <c r="L63" i="13"/>
  <c r="R106" i="16"/>
  <c r="R81" i="13"/>
  <c r="R82" i="12"/>
  <c r="R80" i="11"/>
  <c r="O81" i="14"/>
  <c r="C389" i="5"/>
  <c r="W80" i="12"/>
  <c r="T85" i="15"/>
  <c r="O86" i="12"/>
  <c r="O83" i="14"/>
  <c r="B389" i="5"/>
  <c r="K99" i="16"/>
  <c r="O86" i="14"/>
  <c r="R83" i="15"/>
  <c r="O106" i="16"/>
  <c r="O82" i="13"/>
  <c r="S85" i="12"/>
  <c r="D5" i="8"/>
  <c r="D6" i="9"/>
  <c r="W77" i="14"/>
  <c r="W80" i="15"/>
  <c r="T83" i="1"/>
  <c r="O84" i="11"/>
  <c r="R83" i="14"/>
  <c r="R105" i="16"/>
  <c r="O78" i="15"/>
  <c r="O83" i="12"/>
  <c r="W75" i="11"/>
  <c r="W77" i="15"/>
  <c r="J99" i="16"/>
  <c r="O82" i="14"/>
  <c r="O81" i="11"/>
  <c r="S85" i="14"/>
  <c r="S107" i="16"/>
  <c r="T85" i="14"/>
  <c r="O86" i="13"/>
  <c r="R81" i="14"/>
  <c r="R82" i="13"/>
  <c r="R83" i="12"/>
  <c r="O82" i="12"/>
  <c r="O80" i="11"/>
  <c r="P80" i="11"/>
  <c r="C151" i="5"/>
  <c r="B146" i="5"/>
  <c r="C146" i="5"/>
  <c r="B151" i="5"/>
  <c r="B13" i="11"/>
  <c r="P87" i="11"/>
  <c r="P88" i="11"/>
  <c r="B23" i="11"/>
  <c r="C47" i="5"/>
  <c r="D5" i="9"/>
  <c r="C6" i="8"/>
  <c r="C5" i="8"/>
  <c r="C6" i="7"/>
  <c r="C5" i="7"/>
  <c r="O91" i="14"/>
  <c r="D6" i="4"/>
  <c r="D6" i="8"/>
  <c r="I99" i="16"/>
  <c r="H99" i="16"/>
  <c r="C99" i="16"/>
  <c r="F99" i="16"/>
  <c r="G99" i="16"/>
  <c r="B99" i="16"/>
  <c r="E99" i="16"/>
  <c r="R78" i="12"/>
  <c r="R79" i="11"/>
  <c r="C462" i="5"/>
  <c r="A14" i="5"/>
  <c r="A4" i="1"/>
  <c r="E47" i="1"/>
  <c r="E78" i="16"/>
  <c r="D47" i="1"/>
  <c r="D78" i="16"/>
  <c r="C47" i="1"/>
  <c r="C78" i="16"/>
  <c r="J63" i="4"/>
  <c r="J64" i="4"/>
  <c r="F47" i="1"/>
  <c r="F78" i="16"/>
  <c r="C63" i="7"/>
  <c r="C64" i="7"/>
  <c r="H63" i="7"/>
  <c r="H64" i="7"/>
  <c r="H66" i="7"/>
  <c r="I63" i="9"/>
  <c r="I64" i="9"/>
  <c r="I66" i="9"/>
  <c r="G63" i="8"/>
  <c r="G64" i="8"/>
  <c r="G66" i="8"/>
  <c r="C63" i="10"/>
  <c r="C64" i="10"/>
  <c r="C66" i="10"/>
  <c r="E63" i="10"/>
  <c r="E64" i="10"/>
  <c r="E66" i="10"/>
  <c r="H63" i="9"/>
  <c r="H64" i="9"/>
  <c r="H66" i="9"/>
  <c r="C63" i="9"/>
  <c r="C64" i="9"/>
  <c r="F63" i="10"/>
  <c r="F64" i="10"/>
  <c r="I63" i="4"/>
  <c r="I64" i="4"/>
  <c r="I66" i="4"/>
  <c r="D63" i="10"/>
  <c r="D64" i="10"/>
  <c r="D66" i="10"/>
  <c r="J64" i="7"/>
  <c r="J66" i="7"/>
  <c r="I63" i="8"/>
  <c r="I64" i="8"/>
  <c r="I66" i="8"/>
  <c r="J64" i="8"/>
  <c r="J66" i="8"/>
  <c r="I63" i="7"/>
  <c r="I64" i="7"/>
  <c r="H63" i="10"/>
  <c r="H64" i="10"/>
  <c r="G63" i="10"/>
  <c r="G64" i="10"/>
  <c r="G66" i="10"/>
  <c r="L57" i="10"/>
  <c r="J64" i="10"/>
  <c r="J66" i="10"/>
  <c r="I63" i="10"/>
  <c r="G63" i="7"/>
  <c r="L57" i="9"/>
  <c r="G63" i="4"/>
  <c r="G64" i="4"/>
  <c r="H63" i="8"/>
  <c r="L57" i="8"/>
  <c r="G63" i="9"/>
  <c r="G64" i="9"/>
  <c r="H63" i="4"/>
  <c r="D63" i="9"/>
  <c r="D64" i="9"/>
  <c r="L57" i="7"/>
  <c r="B64" i="10"/>
  <c r="B66" i="10"/>
  <c r="D63" i="8"/>
  <c r="D64" i="8"/>
  <c r="D63" i="4"/>
  <c r="D64" i="4"/>
  <c r="L57" i="4"/>
  <c r="B64" i="7"/>
  <c r="B66" i="7"/>
  <c r="C63" i="8"/>
  <c r="C64" i="8"/>
  <c r="C66" i="8"/>
  <c r="B63" i="8"/>
  <c r="C63" i="4"/>
  <c r="C64" i="4"/>
  <c r="B64" i="9"/>
  <c r="B66" i="9"/>
  <c r="E63" i="8"/>
  <c r="E64" i="8"/>
  <c r="B47" i="1"/>
  <c r="B78" i="16"/>
  <c r="L55" i="8"/>
  <c r="L30" i="7"/>
  <c r="L30" i="4"/>
  <c r="E63" i="4"/>
  <c r="E64" i="4"/>
  <c r="E66" i="4"/>
  <c r="F63" i="4"/>
  <c r="F64" i="4"/>
  <c r="F66" i="4"/>
  <c r="B63" i="4"/>
  <c r="F63" i="8"/>
  <c r="F63" i="9"/>
  <c r="F64" i="9"/>
  <c r="F63" i="7"/>
  <c r="F64" i="7"/>
  <c r="F66" i="7"/>
  <c r="E63" i="9"/>
  <c r="E64" i="9"/>
  <c r="E63" i="7"/>
  <c r="E64" i="7"/>
  <c r="D63" i="7"/>
  <c r="D64" i="7"/>
  <c r="L55" i="4"/>
  <c r="D203" i="5"/>
  <c r="D201" i="5"/>
  <c r="D211" i="5"/>
  <c r="D454" i="5"/>
  <c r="D292" i="5"/>
  <c r="D381" i="5"/>
  <c r="C49" i="5"/>
  <c r="C201" i="5"/>
  <c r="C373" i="5"/>
  <c r="C39" i="5"/>
  <c r="C284" i="5"/>
  <c r="C446" i="5"/>
  <c r="X72" i="5"/>
  <c r="X153" i="5"/>
  <c r="X234" i="5"/>
  <c r="X315" i="5"/>
  <c r="X396" i="5"/>
  <c r="X477" i="5"/>
  <c r="T80" i="15"/>
  <c r="T80" i="14"/>
  <c r="T78" i="11"/>
  <c r="T80" i="13"/>
  <c r="T78" i="1"/>
  <c r="T80" i="12"/>
  <c r="R76" i="1"/>
  <c r="E58" i="5"/>
  <c r="E57" i="5"/>
  <c r="F58" i="5"/>
  <c r="F57" i="5"/>
  <c r="F63" i="5"/>
  <c r="E10" i="1"/>
  <c r="E22" i="1"/>
  <c r="E38" i="16"/>
  <c r="C57" i="5"/>
  <c r="C219" i="5"/>
  <c r="D57" i="5"/>
  <c r="D130" i="5"/>
  <c r="D446" i="5"/>
  <c r="D444" i="5"/>
  <c r="D300" i="5"/>
  <c r="C203" i="5"/>
  <c r="C292" i="5"/>
  <c r="C120" i="5"/>
  <c r="C363" i="5"/>
  <c r="R84" i="1"/>
  <c r="C138" i="5"/>
  <c r="C300" i="5"/>
  <c r="O76" i="1"/>
  <c r="B10" i="1"/>
  <c r="B22" i="1"/>
  <c r="O80" i="1"/>
  <c r="O81" i="1"/>
  <c r="O84" i="1"/>
  <c r="D365" i="5"/>
  <c r="D363" i="5"/>
  <c r="D138" i="5"/>
  <c r="D373" i="5"/>
  <c r="D219" i="5"/>
  <c r="D49" i="5"/>
  <c r="C211" i="5"/>
  <c r="C122" i="5"/>
  <c r="C365" i="5"/>
  <c r="E387" i="5"/>
  <c r="F383" i="5"/>
  <c r="R80" i="1"/>
  <c r="C381" i="5"/>
  <c r="D122" i="5"/>
  <c r="D120" i="5"/>
  <c r="D284" i="5"/>
  <c r="D282" i="5"/>
  <c r="D39" i="5"/>
  <c r="D462" i="5"/>
  <c r="C130" i="5"/>
  <c r="C454" i="5"/>
  <c r="H298" i="5"/>
  <c r="I294" i="5"/>
  <c r="C282" i="5"/>
  <c r="C444" i="5"/>
  <c r="E331" i="5"/>
  <c r="E334" i="5"/>
  <c r="E335" i="5"/>
  <c r="E16" i="13"/>
  <c r="F328" i="5"/>
  <c r="R81" i="1"/>
  <c r="V80" i="14"/>
  <c r="V80" i="13"/>
  <c r="V80" i="15"/>
  <c r="V80" i="12"/>
  <c r="Z72" i="5"/>
  <c r="Z153" i="5"/>
  <c r="Z234" i="5"/>
  <c r="Z315" i="5"/>
  <c r="Z396" i="5"/>
  <c r="Z477" i="5"/>
  <c r="V78" i="11"/>
  <c r="V78" i="1"/>
  <c r="E217" i="5"/>
  <c r="F213" i="5"/>
  <c r="P81" i="15"/>
  <c r="S72" i="5"/>
  <c r="S153" i="5"/>
  <c r="S234" i="5"/>
  <c r="S315" i="5"/>
  <c r="S396" i="5"/>
  <c r="S477" i="5"/>
  <c r="O78" i="1"/>
  <c r="O80" i="12"/>
  <c r="O78" i="11"/>
  <c r="O80" i="14"/>
  <c r="O80" i="15"/>
  <c r="O80" i="13"/>
  <c r="T72" i="5"/>
  <c r="T153" i="5"/>
  <c r="T234" i="5"/>
  <c r="T315" i="5"/>
  <c r="T396" i="5"/>
  <c r="T477" i="5"/>
  <c r="P80" i="13"/>
  <c r="P78" i="11"/>
  <c r="P78" i="1"/>
  <c r="P80" i="12"/>
  <c r="P80" i="15"/>
  <c r="P80" i="14"/>
  <c r="U469" i="5"/>
  <c r="E63" i="5"/>
  <c r="C416" i="5"/>
  <c r="C16" i="14"/>
  <c r="C31" i="16"/>
  <c r="E409" i="5"/>
  <c r="D412" i="5"/>
  <c r="D415" i="5"/>
  <c r="U145" i="5"/>
  <c r="T307" i="5"/>
  <c r="E169" i="5"/>
  <c r="E172" i="5"/>
  <c r="F166" i="5"/>
  <c r="R21" i="5"/>
  <c r="R23" i="5"/>
  <c r="R22" i="5"/>
  <c r="D250" i="5"/>
  <c r="D253" i="5"/>
  <c r="E247" i="5"/>
  <c r="B31" i="16"/>
  <c r="D55" i="5"/>
  <c r="E468" i="5"/>
  <c r="F464" i="5"/>
  <c r="U307" i="5"/>
  <c r="E128" i="5"/>
  <c r="F124" i="5"/>
  <c r="E123" i="5"/>
  <c r="E42" i="5"/>
  <c r="E39" i="5"/>
  <c r="E220" i="5"/>
  <c r="E219" i="5"/>
  <c r="E293" i="5"/>
  <c r="E292" i="5"/>
  <c r="E366" i="5"/>
  <c r="E500" i="5"/>
  <c r="E147" i="5"/>
  <c r="E316" i="5"/>
  <c r="E463" i="5"/>
  <c r="E462" i="5"/>
  <c r="E131" i="5"/>
  <c r="E130" i="5"/>
  <c r="E204" i="5"/>
  <c r="E338" i="5"/>
  <c r="E337" i="5"/>
  <c r="E390" i="5"/>
  <c r="E66" i="5"/>
  <c r="E50" i="5"/>
  <c r="E49" i="5"/>
  <c r="E154" i="5"/>
  <c r="E301" i="5"/>
  <c r="E300" i="5"/>
  <c r="E374" i="5"/>
  <c r="E373" i="5"/>
  <c r="E447" i="5"/>
  <c r="E176" i="5"/>
  <c r="E175" i="5"/>
  <c r="E228" i="5"/>
  <c r="E397" i="5"/>
  <c r="E95" i="5"/>
  <c r="E235" i="5"/>
  <c r="E382" i="5"/>
  <c r="E381" i="5"/>
  <c r="E455" i="5"/>
  <c r="E454" i="5"/>
  <c r="E285" i="5"/>
  <c r="E419" i="5"/>
  <c r="E73" i="5"/>
  <c r="E257" i="5"/>
  <c r="E471" i="5"/>
  <c r="E212" i="5"/>
  <c r="E211" i="5"/>
  <c r="E478" i="5"/>
  <c r="E139" i="5"/>
  <c r="E309" i="5"/>
  <c r="F209" i="5"/>
  <c r="G205" i="5"/>
  <c r="U226" i="5"/>
  <c r="F88" i="5"/>
  <c r="F91" i="5"/>
  <c r="E136" i="5"/>
  <c r="F132" i="5"/>
  <c r="F306" i="5"/>
  <c r="G302" i="5"/>
  <c r="W80" i="13"/>
  <c r="AA72" i="5"/>
  <c r="AA153" i="5"/>
  <c r="AA234" i="5"/>
  <c r="AA315" i="5"/>
  <c r="AA396" i="5"/>
  <c r="AA477" i="5"/>
  <c r="W78" i="11"/>
  <c r="W78" i="1"/>
  <c r="W72" i="5"/>
  <c r="W153" i="5"/>
  <c r="W234" i="5"/>
  <c r="W315" i="5"/>
  <c r="W396" i="5"/>
  <c r="W477" i="5"/>
  <c r="S80" i="14"/>
  <c r="S80" i="13"/>
  <c r="S78" i="11"/>
  <c r="S78" i="1"/>
  <c r="S80" i="15"/>
  <c r="S80" i="12"/>
  <c r="E460" i="5"/>
  <c r="F456" i="5"/>
  <c r="D371" i="5"/>
  <c r="E367" i="5"/>
  <c r="E379" i="5"/>
  <c r="F375" i="5"/>
  <c r="Z80" i="12"/>
  <c r="Z80" i="14"/>
  <c r="Z78" i="11"/>
  <c r="Z80" i="15"/>
  <c r="Z78" i="1"/>
  <c r="Z80" i="13"/>
  <c r="R76" i="11"/>
  <c r="U388" i="5"/>
  <c r="E496" i="5"/>
  <c r="F490" i="5"/>
  <c r="E493" i="5"/>
  <c r="E144" i="5"/>
  <c r="F140" i="5"/>
  <c r="E225" i="5"/>
  <c r="F221" i="5"/>
  <c r="E290" i="5"/>
  <c r="F286" i="5"/>
  <c r="D452" i="5"/>
  <c r="E448" i="5"/>
  <c r="AN8" i="5"/>
  <c r="X77" i="14"/>
  <c r="X77" i="13"/>
  <c r="X75" i="11"/>
  <c r="X77" i="15"/>
  <c r="X77" i="12"/>
  <c r="X75" i="1"/>
  <c r="O105" i="16"/>
  <c r="O82" i="15"/>
  <c r="P82" i="15"/>
  <c r="B470" i="5"/>
  <c r="C470" i="5"/>
  <c r="C475" i="5"/>
  <c r="B13" i="15"/>
  <c r="P89" i="15"/>
  <c r="P90" i="15"/>
  <c r="B24" i="15"/>
  <c r="O79" i="11"/>
  <c r="O81" i="12"/>
  <c r="O83" i="13"/>
  <c r="W77" i="13"/>
  <c r="W77" i="12"/>
  <c r="W75" i="1"/>
  <c r="T81" i="5"/>
  <c r="B41" i="5"/>
  <c r="B65" i="5"/>
  <c r="D65" i="5"/>
  <c r="E65" i="5"/>
  <c r="V77" i="15"/>
  <c r="V75" i="11"/>
  <c r="V77" i="14"/>
  <c r="V75" i="1"/>
  <c r="V77" i="12"/>
  <c r="V77" i="13"/>
  <c r="B8" i="11"/>
  <c r="D153" i="5"/>
  <c r="E153" i="5"/>
  <c r="B10" i="15"/>
  <c r="B25" i="16"/>
  <c r="B9" i="1"/>
  <c r="B9" i="16"/>
  <c r="B9" i="11"/>
  <c r="E256" i="5"/>
  <c r="B8" i="12"/>
  <c r="B14" i="16"/>
  <c r="C153" i="5"/>
  <c r="E418" i="5"/>
  <c r="P81" i="13"/>
  <c r="B8" i="15"/>
  <c r="E470" i="5"/>
  <c r="E284" i="5"/>
  <c r="D8" i="13"/>
  <c r="B10" i="14"/>
  <c r="C10" i="15"/>
  <c r="C25" i="16"/>
  <c r="B477" i="5"/>
  <c r="E365" i="5"/>
  <c r="E371" i="5"/>
  <c r="D8" i="14"/>
  <c r="O78" i="14"/>
  <c r="B9" i="14"/>
  <c r="B22" i="14"/>
  <c r="D9" i="14"/>
  <c r="D21" i="16"/>
  <c r="B10" i="13"/>
  <c r="D6" i="10"/>
  <c r="D6" i="7"/>
  <c r="D47" i="5"/>
  <c r="P112" i="16"/>
  <c r="P90" i="14"/>
  <c r="P90" i="13"/>
  <c r="P90" i="12"/>
  <c r="S77" i="14"/>
  <c r="S77" i="15"/>
  <c r="S77" i="12"/>
  <c r="S75" i="11"/>
  <c r="S75" i="1"/>
  <c r="S77" i="13"/>
  <c r="D477" i="5"/>
  <c r="B175" i="5"/>
  <c r="D17" i="16"/>
  <c r="B72" i="5"/>
  <c r="D175" i="5"/>
  <c r="C234" i="5"/>
  <c r="C227" i="5"/>
  <c r="D389" i="5"/>
  <c r="E389" i="5"/>
  <c r="U72" i="5"/>
  <c r="U153" i="5"/>
  <c r="U234" i="5"/>
  <c r="U315" i="5"/>
  <c r="U396" i="5"/>
  <c r="U477" i="5"/>
  <c r="Q80" i="13"/>
  <c r="Q80" i="14"/>
  <c r="Q80" i="15"/>
  <c r="Q78" i="11"/>
  <c r="Q78" i="1"/>
  <c r="Q80" i="12"/>
  <c r="Q77" i="12"/>
  <c r="Q75" i="11"/>
  <c r="Q75" i="1"/>
  <c r="Q77" i="15"/>
  <c r="Q77" i="13"/>
  <c r="Q77" i="14"/>
  <c r="P76" i="1"/>
  <c r="D9" i="11"/>
  <c r="B499" i="5"/>
  <c r="E477" i="5"/>
  <c r="B94" i="5"/>
  <c r="C315" i="5"/>
  <c r="C94" i="5"/>
  <c r="C308" i="5"/>
  <c r="D308" i="5"/>
  <c r="E315" i="5"/>
  <c r="B396" i="5"/>
  <c r="D396" i="5"/>
  <c r="E499" i="5"/>
  <c r="E396" i="5"/>
  <c r="C418" i="5"/>
  <c r="C175" i="5"/>
  <c r="C396" i="5"/>
  <c r="Y80" i="14"/>
  <c r="Y78" i="11"/>
  <c r="Y80" i="13"/>
  <c r="AC72" i="5"/>
  <c r="AC153" i="5"/>
  <c r="AC234" i="5"/>
  <c r="AC315" i="5"/>
  <c r="AC396" i="5"/>
  <c r="AC477" i="5"/>
  <c r="Y78" i="1"/>
  <c r="Y80" i="15"/>
  <c r="Y80" i="12"/>
  <c r="U77" i="15"/>
  <c r="U75" i="1"/>
  <c r="U75" i="11"/>
  <c r="U77" i="14"/>
  <c r="U77" i="12"/>
  <c r="U77" i="13"/>
  <c r="Z77" i="15"/>
  <c r="Z77" i="12"/>
  <c r="B234" i="5"/>
  <c r="D337" i="5"/>
  <c r="F455" i="5"/>
  <c r="F454" i="5"/>
  <c r="F460" i="5"/>
  <c r="E9" i="15"/>
  <c r="E227" i="5"/>
  <c r="B418" i="5"/>
  <c r="B308" i="5"/>
  <c r="D418" i="5"/>
  <c r="C8" i="13"/>
  <c r="C499" i="5"/>
  <c r="C256" i="5"/>
  <c r="C477" i="5"/>
  <c r="D227" i="5"/>
  <c r="D499" i="5"/>
  <c r="T80" i="5"/>
  <c r="D10" i="15"/>
  <c r="D234" i="5"/>
  <c r="E41" i="5"/>
  <c r="D41" i="5"/>
  <c r="C41" i="5"/>
  <c r="C10" i="11"/>
  <c r="C337" i="5"/>
  <c r="U487" i="5"/>
  <c r="U80" i="14"/>
  <c r="U80" i="13"/>
  <c r="Y72" i="5"/>
  <c r="Y153" i="5"/>
  <c r="Y234" i="5"/>
  <c r="Y315" i="5"/>
  <c r="Y396" i="5"/>
  <c r="Y477" i="5"/>
  <c r="U78" i="11"/>
  <c r="U78" i="1"/>
  <c r="U80" i="12"/>
  <c r="U80" i="15"/>
  <c r="R77" i="12"/>
  <c r="R77" i="13"/>
  <c r="R77" i="14"/>
  <c r="R77" i="15"/>
  <c r="R75" i="1"/>
  <c r="R75" i="11"/>
  <c r="T77" i="12"/>
  <c r="T75" i="11"/>
  <c r="T77" i="14"/>
  <c r="T77" i="13"/>
  <c r="T77" i="15"/>
  <c r="T75" i="1"/>
  <c r="B256" i="5"/>
  <c r="D146" i="5"/>
  <c r="E234" i="5"/>
  <c r="C9" i="15"/>
  <c r="U406" i="5"/>
  <c r="Y77" i="14"/>
  <c r="Y75" i="11"/>
  <c r="Y77" i="15"/>
  <c r="Y77" i="12"/>
  <c r="Y75" i="1"/>
  <c r="Y77" i="13"/>
  <c r="D72" i="5"/>
  <c r="S243" i="5"/>
  <c r="S80" i="5"/>
  <c r="D9" i="15"/>
  <c r="B337" i="5"/>
  <c r="E94" i="5"/>
  <c r="D94" i="5"/>
  <c r="D315" i="5"/>
  <c r="B227" i="5"/>
  <c r="C9" i="1"/>
  <c r="B315" i="5"/>
  <c r="E72" i="5"/>
  <c r="E308" i="5"/>
  <c r="D10" i="12"/>
  <c r="F212" i="5"/>
  <c r="F211" i="5"/>
  <c r="F217" i="5"/>
  <c r="E9" i="12"/>
  <c r="P77" i="13"/>
  <c r="P75" i="11"/>
  <c r="P77" i="12"/>
  <c r="P77" i="15"/>
  <c r="P77" i="14"/>
  <c r="P75" i="1"/>
  <c r="B77" i="5"/>
  <c r="D261" i="5"/>
  <c r="B70" i="5"/>
  <c r="C65" i="5"/>
  <c r="C70" i="5"/>
  <c r="B13" i="1"/>
  <c r="D232" i="5"/>
  <c r="D239" i="5"/>
  <c r="B261" i="5"/>
  <c r="P111" i="16"/>
  <c r="C158" i="5"/>
  <c r="D158" i="5"/>
  <c r="C14" i="11"/>
  <c r="D99" i="5"/>
  <c r="C232" i="5"/>
  <c r="C239" i="5"/>
  <c r="P89" i="13"/>
  <c r="C394" i="5"/>
  <c r="D394" i="5"/>
  <c r="C13" i="14"/>
  <c r="D475" i="5"/>
  <c r="D482" i="5"/>
  <c r="B504" i="5"/>
  <c r="E261" i="5"/>
  <c r="F257" i="5"/>
  <c r="F256" i="5"/>
  <c r="F261" i="5"/>
  <c r="E17" i="12"/>
  <c r="C77" i="5"/>
  <c r="B99" i="5"/>
  <c r="C180" i="5"/>
  <c r="C423" i="5"/>
  <c r="B482" i="5"/>
  <c r="C482" i="5"/>
  <c r="B14" i="15"/>
  <c r="B239" i="5"/>
  <c r="C313" i="5"/>
  <c r="C342" i="5"/>
  <c r="C401" i="5"/>
  <c r="B475" i="5"/>
  <c r="E77" i="5"/>
  <c r="E232" i="5"/>
  <c r="E482" i="5"/>
  <c r="F70" i="5"/>
  <c r="D77" i="5"/>
  <c r="D180" i="5"/>
  <c r="C320" i="5"/>
  <c r="D423" i="5"/>
  <c r="E394" i="5"/>
  <c r="B180" i="5"/>
  <c r="B232" i="5"/>
  <c r="P89" i="12"/>
  <c r="D342" i="5"/>
  <c r="D401" i="5"/>
  <c r="B423" i="5"/>
  <c r="E180" i="5"/>
  <c r="E342" i="5"/>
  <c r="D70" i="5"/>
  <c r="E70" i="5"/>
  <c r="D13" i="1"/>
  <c r="B158" i="5"/>
  <c r="D313" i="5"/>
  <c r="D320" i="5"/>
  <c r="B342" i="5"/>
  <c r="B401" i="5"/>
  <c r="C504" i="5"/>
  <c r="E99" i="5"/>
  <c r="E239" i="5"/>
  <c r="E504" i="5"/>
  <c r="F77" i="5"/>
  <c r="C99" i="5"/>
  <c r="E158" i="5"/>
  <c r="E475" i="5"/>
  <c r="F471" i="5"/>
  <c r="F470" i="5"/>
  <c r="F475" i="5"/>
  <c r="E13" i="15"/>
  <c r="F232" i="5"/>
  <c r="F482" i="5"/>
  <c r="G261" i="5"/>
  <c r="G401" i="5"/>
  <c r="B313" i="5"/>
  <c r="B394" i="5"/>
  <c r="B13" i="14"/>
  <c r="E320" i="5"/>
  <c r="F158" i="5"/>
  <c r="F394" i="5"/>
  <c r="G342" i="5"/>
  <c r="G482" i="5"/>
  <c r="C261" i="5"/>
  <c r="D504" i="5"/>
  <c r="F342" i="5"/>
  <c r="G423" i="5"/>
  <c r="H158" i="5"/>
  <c r="H320" i="5"/>
  <c r="H423" i="5"/>
  <c r="I158" i="5"/>
  <c r="I394" i="5"/>
  <c r="D151" i="5"/>
  <c r="F180" i="5"/>
  <c r="F239" i="5"/>
  <c r="F504" i="5"/>
  <c r="G151" i="5"/>
  <c r="G504" i="5"/>
  <c r="E401" i="5"/>
  <c r="F313" i="5"/>
  <c r="B320" i="5"/>
  <c r="E151" i="5"/>
  <c r="F99" i="5"/>
  <c r="G158" i="5"/>
  <c r="G313" i="5"/>
  <c r="H180" i="5"/>
  <c r="H342" i="5"/>
  <c r="I180" i="5"/>
  <c r="I239" i="5"/>
  <c r="J394" i="5"/>
  <c r="G394" i="5"/>
  <c r="H151" i="5"/>
  <c r="H394" i="5"/>
  <c r="J180" i="5"/>
  <c r="P89" i="14"/>
  <c r="E423" i="5"/>
  <c r="F419" i="5"/>
  <c r="F418" i="5"/>
  <c r="F423" i="5"/>
  <c r="E17" i="14"/>
  <c r="F151" i="5"/>
  <c r="H232" i="5"/>
  <c r="H475" i="5"/>
  <c r="I320" i="5"/>
  <c r="I504" i="5"/>
  <c r="E313" i="5"/>
  <c r="F401" i="5"/>
  <c r="G475" i="5"/>
  <c r="H401" i="5"/>
  <c r="G180" i="5"/>
  <c r="H239" i="5"/>
  <c r="H482" i="5"/>
  <c r="I151" i="5"/>
  <c r="I342" i="5"/>
  <c r="I401" i="5"/>
  <c r="I475" i="5"/>
  <c r="J320" i="5"/>
  <c r="J423" i="5"/>
  <c r="F320" i="5"/>
  <c r="G232" i="5"/>
  <c r="H313" i="5"/>
  <c r="I232" i="5"/>
  <c r="J151" i="5"/>
  <c r="H261" i="5"/>
  <c r="J401" i="5"/>
  <c r="K158" i="5"/>
  <c r="L342" i="5"/>
  <c r="L401" i="5"/>
  <c r="J475" i="5"/>
  <c r="K261" i="5"/>
  <c r="K313" i="5"/>
  <c r="K401" i="5"/>
  <c r="L151" i="5"/>
  <c r="J158" i="5"/>
  <c r="J342" i="5"/>
  <c r="K504" i="5"/>
  <c r="L261" i="5"/>
  <c r="L320" i="5"/>
  <c r="I482" i="5"/>
  <c r="J261" i="5"/>
  <c r="K151" i="5"/>
  <c r="K239" i="5"/>
  <c r="G320" i="5"/>
  <c r="I261" i="5"/>
  <c r="I423" i="5"/>
  <c r="J313" i="5"/>
  <c r="L313" i="5"/>
  <c r="J232" i="5"/>
  <c r="J482" i="5"/>
  <c r="K180" i="5"/>
  <c r="K232" i="5"/>
  <c r="K320" i="5"/>
  <c r="K423" i="5"/>
  <c r="J504" i="5"/>
  <c r="K482" i="5"/>
  <c r="L423" i="5"/>
  <c r="I313" i="5"/>
  <c r="J239" i="5"/>
  <c r="K394" i="5"/>
  <c r="H504" i="5"/>
  <c r="L180" i="5"/>
  <c r="L239" i="5"/>
  <c r="L482" i="5"/>
  <c r="G239" i="5"/>
  <c r="L158" i="5"/>
  <c r="K475" i="5"/>
  <c r="L232" i="5"/>
  <c r="K342" i="5"/>
  <c r="L394" i="5"/>
  <c r="L504" i="5"/>
  <c r="L475" i="5"/>
  <c r="B21" i="16"/>
  <c r="D470" i="5"/>
  <c r="D13" i="15"/>
  <c r="B153" i="5"/>
  <c r="D256" i="5"/>
  <c r="D10" i="1"/>
  <c r="E146" i="5"/>
  <c r="C72" i="5"/>
  <c r="C14" i="1"/>
  <c r="C10" i="13"/>
  <c r="C13" i="1"/>
  <c r="C9" i="13"/>
  <c r="R78" i="14"/>
  <c r="F382" i="5"/>
  <c r="F381" i="5"/>
  <c r="F387" i="5"/>
  <c r="E10" i="14"/>
  <c r="E23" i="14"/>
  <c r="D66" i="8"/>
  <c r="F66" i="10"/>
  <c r="D66" i="9"/>
  <c r="L63" i="10"/>
  <c r="H66" i="10"/>
  <c r="B64" i="8"/>
  <c r="B66" i="8"/>
  <c r="I66" i="7"/>
  <c r="J59" i="1"/>
  <c r="I64" i="10"/>
  <c r="I59" i="1"/>
  <c r="J66" i="4"/>
  <c r="H64" i="4"/>
  <c r="G64" i="7"/>
  <c r="G59" i="1"/>
  <c r="G66" i="9"/>
  <c r="H64" i="8"/>
  <c r="H66" i="8"/>
  <c r="L63" i="7"/>
  <c r="G66" i="4"/>
  <c r="B64" i="4"/>
  <c r="L63" i="4"/>
  <c r="L63" i="9"/>
  <c r="L64" i="9"/>
  <c r="L63" i="8"/>
  <c r="F66" i="9"/>
  <c r="E66" i="9"/>
  <c r="F64" i="8"/>
  <c r="F66" i="8"/>
  <c r="E66" i="7"/>
  <c r="D66" i="7"/>
  <c r="D59" i="1"/>
  <c r="D97" i="16"/>
  <c r="E59" i="1"/>
  <c r="E97" i="16"/>
  <c r="T244" i="5"/>
  <c r="T162" i="5"/>
  <c r="T486" i="5"/>
  <c r="S76" i="1"/>
  <c r="F10" i="1"/>
  <c r="F22" i="1"/>
  <c r="E363" i="5"/>
  <c r="E122" i="5"/>
  <c r="F123" i="5"/>
  <c r="F122" i="5"/>
  <c r="F128" i="5"/>
  <c r="E8" i="11"/>
  <c r="E120" i="5"/>
  <c r="P80" i="1"/>
  <c r="C59" i="1"/>
  <c r="C97" i="16"/>
  <c r="G383" i="5"/>
  <c r="D66" i="4"/>
  <c r="E138" i="5"/>
  <c r="F139" i="5"/>
  <c r="F138" i="5"/>
  <c r="F144" i="5"/>
  <c r="E10" i="11"/>
  <c r="E282" i="5"/>
  <c r="D254" i="5"/>
  <c r="D16" i="12"/>
  <c r="E173" i="5"/>
  <c r="E16" i="11"/>
  <c r="F331" i="5"/>
  <c r="F334" i="5"/>
  <c r="F335" i="5"/>
  <c r="F16" i="13"/>
  <c r="G328" i="5"/>
  <c r="L78" i="16"/>
  <c r="C66" i="7"/>
  <c r="D15" i="1"/>
  <c r="F92" i="5"/>
  <c r="F16" i="1"/>
  <c r="E446" i="5"/>
  <c r="E444" i="5"/>
  <c r="E203" i="5"/>
  <c r="E201" i="5"/>
  <c r="E66" i="8"/>
  <c r="I298" i="5"/>
  <c r="J294" i="5"/>
  <c r="C66" i="9"/>
  <c r="L47" i="1"/>
  <c r="C66" i="4"/>
  <c r="Q84" i="1"/>
  <c r="Q80" i="1"/>
  <c r="E497" i="5"/>
  <c r="E16" i="15"/>
  <c r="S81" i="1"/>
  <c r="S80" i="1"/>
  <c r="G213" i="5"/>
  <c r="T324" i="5"/>
  <c r="T261" i="5"/>
  <c r="S324" i="5"/>
  <c r="U80" i="5"/>
  <c r="E412" i="5"/>
  <c r="E415" i="5"/>
  <c r="E416" i="5"/>
  <c r="E16" i="14"/>
  <c r="F409" i="5"/>
  <c r="V307" i="5"/>
  <c r="S486" i="5"/>
  <c r="D49" i="11"/>
  <c r="F379" i="5"/>
  <c r="G375" i="5"/>
  <c r="V469" i="5"/>
  <c r="P105" i="16"/>
  <c r="P83" i="13"/>
  <c r="P83" i="14"/>
  <c r="P106" i="16"/>
  <c r="P86" i="15"/>
  <c r="P82" i="12"/>
  <c r="Q82" i="15"/>
  <c r="C13" i="15"/>
  <c r="C24" i="15"/>
  <c r="P83" i="12"/>
  <c r="P81" i="12"/>
  <c r="P84" i="1"/>
  <c r="P79" i="11"/>
  <c r="P82" i="13"/>
  <c r="P81" i="11"/>
  <c r="P79" i="1"/>
  <c r="P83" i="15"/>
  <c r="P86" i="12"/>
  <c r="P84" i="11"/>
  <c r="P86" i="14"/>
  <c r="P81" i="1"/>
  <c r="P82" i="14"/>
  <c r="P86" i="13"/>
  <c r="Q80" i="11"/>
  <c r="C13" i="11"/>
  <c r="C23" i="11"/>
  <c r="S404" i="5"/>
  <c r="U81" i="5"/>
  <c r="F468" i="5"/>
  <c r="G464" i="5"/>
  <c r="T406" i="5"/>
  <c r="U324" i="5"/>
  <c r="F290" i="5"/>
  <c r="G286" i="5"/>
  <c r="F366" i="5"/>
  <c r="F365" i="5"/>
  <c r="F371" i="5"/>
  <c r="E8" i="14"/>
  <c r="F367" i="5"/>
  <c r="G209" i="5"/>
  <c r="H205" i="5"/>
  <c r="U99" i="5"/>
  <c r="U486" i="5"/>
  <c r="V388" i="5"/>
  <c r="E55" i="5"/>
  <c r="F50" i="5"/>
  <c r="F49" i="5"/>
  <c r="F55" i="5"/>
  <c r="E9" i="1"/>
  <c r="F225" i="5"/>
  <c r="G221" i="5"/>
  <c r="G490" i="5"/>
  <c r="F493" i="5"/>
  <c r="F496" i="5"/>
  <c r="G456" i="5"/>
  <c r="V226" i="5"/>
  <c r="F235" i="5"/>
  <c r="F234" i="5"/>
  <c r="F309" i="5"/>
  <c r="F308" i="5"/>
  <c r="F478" i="5"/>
  <c r="F477" i="5"/>
  <c r="F42" i="5"/>
  <c r="F39" i="5"/>
  <c r="F220" i="5"/>
  <c r="F219" i="5"/>
  <c r="F293" i="5"/>
  <c r="F292" i="5"/>
  <c r="F500" i="5"/>
  <c r="F499" i="5"/>
  <c r="G500" i="5"/>
  <c r="G499" i="5"/>
  <c r="F17" i="15"/>
  <c r="F147" i="5"/>
  <c r="F146" i="5"/>
  <c r="G147" i="5"/>
  <c r="G146" i="5"/>
  <c r="F13" i="11"/>
  <c r="F316" i="5"/>
  <c r="F315" i="5"/>
  <c r="F463" i="5"/>
  <c r="F66" i="5"/>
  <c r="F65" i="5"/>
  <c r="F131" i="5"/>
  <c r="F130" i="5"/>
  <c r="F204" i="5"/>
  <c r="F338" i="5"/>
  <c r="F337" i="5"/>
  <c r="F390" i="5"/>
  <c r="F389" i="5"/>
  <c r="G390" i="5"/>
  <c r="G389" i="5"/>
  <c r="F13" i="14"/>
  <c r="F73" i="5"/>
  <c r="F72" i="5"/>
  <c r="F176" i="5"/>
  <c r="F175" i="5"/>
  <c r="F228" i="5"/>
  <c r="F227" i="5"/>
  <c r="F397" i="5"/>
  <c r="F396" i="5"/>
  <c r="F95" i="5"/>
  <c r="F94" i="5"/>
  <c r="F17" i="1"/>
  <c r="F285" i="5"/>
  <c r="F154" i="5"/>
  <c r="F153" i="5"/>
  <c r="G154" i="5"/>
  <c r="G153" i="5"/>
  <c r="F14" i="11"/>
  <c r="F301" i="5"/>
  <c r="F374" i="5"/>
  <c r="F373" i="5"/>
  <c r="F447" i="5"/>
  <c r="T83" i="12"/>
  <c r="T82" i="12"/>
  <c r="T86" i="13"/>
  <c r="T86" i="12"/>
  <c r="T82" i="14"/>
  <c r="T86" i="14"/>
  <c r="T83" i="15"/>
  <c r="U83" i="15"/>
  <c r="H500" i="5"/>
  <c r="H499" i="5"/>
  <c r="G17" i="15"/>
  <c r="G26" i="15"/>
  <c r="T86" i="15"/>
  <c r="T106" i="16"/>
  <c r="T81" i="11"/>
  <c r="S81" i="11"/>
  <c r="F24" i="11"/>
  <c r="T84" i="11"/>
  <c r="T80" i="11"/>
  <c r="T83" i="14"/>
  <c r="T82" i="13"/>
  <c r="T81" i="14"/>
  <c r="F169" i="5"/>
  <c r="G166" i="5"/>
  <c r="F172" i="5"/>
  <c r="B49" i="11"/>
  <c r="D15" i="15"/>
  <c r="D14" i="14"/>
  <c r="S83" i="12"/>
  <c r="E26" i="12"/>
  <c r="S83" i="13"/>
  <c r="E17" i="13"/>
  <c r="E26" i="13"/>
  <c r="S82" i="14"/>
  <c r="E13" i="14"/>
  <c r="E24" i="14"/>
  <c r="S83" i="14"/>
  <c r="S80" i="11"/>
  <c r="S106" i="16"/>
  <c r="S82" i="12"/>
  <c r="S84" i="1"/>
  <c r="S82" i="13"/>
  <c r="S105" i="16"/>
  <c r="S82" i="15"/>
  <c r="S86" i="13"/>
  <c r="S86" i="15"/>
  <c r="S83" i="15"/>
  <c r="S86" i="12"/>
  <c r="S86" i="14"/>
  <c r="S84" i="11"/>
  <c r="S81" i="13"/>
  <c r="G306" i="5"/>
  <c r="H302" i="5"/>
  <c r="G124" i="5"/>
  <c r="E452" i="5"/>
  <c r="D8" i="15"/>
  <c r="G140" i="5"/>
  <c r="E250" i="5"/>
  <c r="E253" i="5"/>
  <c r="E254" i="5"/>
  <c r="E16" i="12"/>
  <c r="E31" i="16"/>
  <c r="F247" i="5"/>
  <c r="V145" i="5"/>
  <c r="F446" i="5"/>
  <c r="F452" i="5"/>
  <c r="E8" i="15"/>
  <c r="F448" i="5"/>
  <c r="F136" i="5"/>
  <c r="G132" i="5"/>
  <c r="S22" i="5"/>
  <c r="S21" i="5"/>
  <c r="S23" i="5"/>
  <c r="D416" i="5"/>
  <c r="D16" i="14"/>
  <c r="D31" i="16"/>
  <c r="U261" i="5"/>
  <c r="D13" i="11"/>
  <c r="E17" i="15"/>
  <c r="AO8" i="5"/>
  <c r="D14" i="11"/>
  <c r="S242" i="5"/>
  <c r="E13" i="1"/>
  <c r="B17" i="12"/>
  <c r="U162" i="5"/>
  <c r="B50" i="13"/>
  <c r="B51" i="13"/>
  <c r="B54" i="13"/>
  <c r="G257" i="5"/>
  <c r="G256" i="5"/>
  <c r="F17" i="12"/>
  <c r="C17" i="1"/>
  <c r="D14" i="13"/>
  <c r="B17" i="13"/>
  <c r="T99" i="5"/>
  <c r="D17" i="13"/>
  <c r="D51" i="12"/>
  <c r="G419" i="5"/>
  <c r="G418" i="5"/>
  <c r="F17" i="14"/>
  <c r="B14" i="12"/>
  <c r="S161" i="5"/>
  <c r="U243" i="5"/>
  <c r="U323" i="5"/>
  <c r="C51" i="13"/>
  <c r="B8" i="14"/>
  <c r="D17" i="15"/>
  <c r="B19" i="16"/>
  <c r="E9" i="13"/>
  <c r="G374" i="5"/>
  <c r="G373" i="5"/>
  <c r="G379" i="5"/>
  <c r="F9" i="14"/>
  <c r="G212" i="5"/>
  <c r="G211" i="5"/>
  <c r="G217" i="5"/>
  <c r="F9" i="12"/>
  <c r="F15" i="16"/>
  <c r="E9" i="14"/>
  <c r="E21" i="16"/>
  <c r="C9" i="14"/>
  <c r="T487" i="5"/>
  <c r="D17" i="12"/>
  <c r="C8" i="15"/>
  <c r="C11" i="15"/>
  <c r="E14" i="11"/>
  <c r="D9" i="12"/>
  <c r="D8" i="11"/>
  <c r="D11" i="16"/>
  <c r="E14" i="1"/>
  <c r="F14" i="1"/>
  <c r="C10" i="12"/>
  <c r="C16" i="16"/>
  <c r="G139" i="5"/>
  <c r="G138" i="5"/>
  <c r="G144" i="5"/>
  <c r="F10" i="11"/>
  <c r="F13" i="16"/>
  <c r="C17" i="13"/>
  <c r="B17" i="14"/>
  <c r="S504" i="5"/>
  <c r="E14" i="14"/>
  <c r="D8" i="12"/>
  <c r="B21" i="1"/>
  <c r="B37" i="16"/>
  <c r="B22" i="16"/>
  <c r="D10" i="11"/>
  <c r="D13" i="16"/>
  <c r="D51" i="15"/>
  <c r="B11" i="16"/>
  <c r="O76" i="11"/>
  <c r="F203" i="5"/>
  <c r="E8" i="12"/>
  <c r="F462" i="5"/>
  <c r="E10" i="15"/>
  <c r="D48" i="11"/>
  <c r="D52" i="11"/>
  <c r="C8" i="1"/>
  <c r="C8" i="16"/>
  <c r="C51" i="15"/>
  <c r="E5" i="10"/>
  <c r="E5" i="7"/>
  <c r="E5" i="8"/>
  <c r="E5" i="9"/>
  <c r="E5" i="4"/>
  <c r="D10" i="13"/>
  <c r="D19" i="16"/>
  <c r="B10" i="12"/>
  <c r="B10" i="11"/>
  <c r="B11" i="11"/>
  <c r="C9" i="12"/>
  <c r="D20" i="16"/>
  <c r="C10" i="1"/>
  <c r="C17" i="14"/>
  <c r="D10" i="14"/>
  <c r="D11" i="14"/>
  <c r="F284" i="5"/>
  <c r="E8" i="13"/>
  <c r="E17" i="16"/>
  <c r="B9" i="15"/>
  <c r="B12" i="16"/>
  <c r="C8" i="14"/>
  <c r="G293" i="5"/>
  <c r="G292" i="5"/>
  <c r="F9" i="13"/>
  <c r="S162" i="5"/>
  <c r="O78" i="12"/>
  <c r="C9" i="11"/>
  <c r="B23" i="16"/>
  <c r="E11" i="16"/>
  <c r="D17" i="14"/>
  <c r="E50" i="16"/>
  <c r="G309" i="5"/>
  <c r="G308" i="5"/>
  <c r="F13" i="13"/>
  <c r="B9" i="13"/>
  <c r="B8" i="1"/>
  <c r="C10" i="14"/>
  <c r="B50" i="15"/>
  <c r="F300" i="5"/>
  <c r="E10" i="13"/>
  <c r="F13" i="1"/>
  <c r="E13" i="13"/>
  <c r="S99" i="5"/>
  <c r="T243" i="5"/>
  <c r="R78" i="13"/>
  <c r="E14" i="13"/>
  <c r="C8" i="11"/>
  <c r="C11" i="16"/>
  <c r="D9" i="13"/>
  <c r="D18" i="16"/>
  <c r="E10" i="12"/>
  <c r="E11" i="12"/>
  <c r="C48" i="11"/>
  <c r="D51" i="13"/>
  <c r="B8" i="13"/>
  <c r="C8" i="12"/>
  <c r="C14" i="16"/>
  <c r="B9" i="12"/>
  <c r="B11" i="12"/>
  <c r="D9" i="1"/>
  <c r="D9" i="16"/>
  <c r="E9" i="11"/>
  <c r="E47" i="5"/>
  <c r="D8" i="1"/>
  <c r="C48" i="1"/>
  <c r="D51" i="14"/>
  <c r="C50" i="12"/>
  <c r="E18" i="16"/>
  <c r="D12" i="16"/>
  <c r="C13" i="12"/>
  <c r="S180" i="5"/>
  <c r="B14" i="11"/>
  <c r="C9" i="16"/>
  <c r="D17" i="1"/>
  <c r="D24" i="16"/>
  <c r="T82" i="5"/>
  <c r="P70" i="1"/>
  <c r="C12" i="16"/>
  <c r="D13" i="12"/>
  <c r="C17" i="12"/>
  <c r="E13" i="12"/>
  <c r="D13" i="13"/>
  <c r="T485" i="5"/>
  <c r="T325" i="5"/>
  <c r="U485" i="5"/>
  <c r="T242" i="5"/>
  <c r="G397" i="5"/>
  <c r="G396" i="5"/>
  <c r="F14" i="14"/>
  <c r="G316" i="5"/>
  <c r="G315" i="5"/>
  <c r="F14" i="13"/>
  <c r="C51" i="12"/>
  <c r="D15" i="16"/>
  <c r="E17" i="1"/>
  <c r="B15" i="1"/>
  <c r="S406" i="5"/>
  <c r="D14" i="12"/>
  <c r="C10" i="16"/>
  <c r="C14" i="14"/>
  <c r="C14" i="13"/>
  <c r="B17" i="1"/>
  <c r="B17" i="15"/>
  <c r="D50" i="13"/>
  <c r="E17" i="11"/>
  <c r="E22" i="11"/>
  <c r="E41" i="16"/>
  <c r="E13" i="16"/>
  <c r="B14" i="13"/>
  <c r="U325" i="5"/>
  <c r="G235" i="5"/>
  <c r="G234" i="5"/>
  <c r="F14" i="12"/>
  <c r="E14" i="16"/>
  <c r="C50" i="15"/>
  <c r="C51" i="14"/>
  <c r="G478" i="5"/>
  <c r="G477" i="5"/>
  <c r="F14" i="15"/>
  <c r="E14" i="15"/>
  <c r="U163" i="5"/>
  <c r="F21" i="16"/>
  <c r="T323" i="5"/>
  <c r="C15" i="1"/>
  <c r="S81" i="5"/>
  <c r="E10" i="16"/>
  <c r="U244" i="5"/>
  <c r="C19" i="16"/>
  <c r="C15" i="16"/>
  <c r="S244" i="5"/>
  <c r="S245" i="5"/>
  <c r="B51" i="12"/>
  <c r="E13" i="11"/>
  <c r="E15" i="16"/>
  <c r="D16" i="16"/>
  <c r="G176" i="5"/>
  <c r="G175" i="5"/>
  <c r="F17" i="11"/>
  <c r="G338" i="5"/>
  <c r="G337" i="5"/>
  <c r="F17" i="13"/>
  <c r="S487" i="5"/>
  <c r="B51" i="15"/>
  <c r="T83" i="5"/>
  <c r="C17" i="15"/>
  <c r="B13" i="13"/>
  <c r="S82" i="5"/>
  <c r="C13" i="13"/>
  <c r="E22" i="16"/>
  <c r="Q83" i="12"/>
  <c r="Q105" i="16"/>
  <c r="D23" i="11"/>
  <c r="Q82" i="13"/>
  <c r="C24" i="13"/>
  <c r="Q83" i="14"/>
  <c r="Q82" i="12"/>
  <c r="D24" i="12"/>
  <c r="Q106" i="16"/>
  <c r="Q83" i="13"/>
  <c r="D25" i="13"/>
  <c r="Q83" i="15"/>
  <c r="C14" i="15"/>
  <c r="C25" i="15"/>
  <c r="Q81" i="11"/>
  <c r="C17" i="11"/>
  <c r="C25" i="11"/>
  <c r="Q82" i="14"/>
  <c r="D13" i="14"/>
  <c r="D24" i="14"/>
  <c r="D24" i="15"/>
  <c r="Q81" i="1"/>
  <c r="Q84" i="11"/>
  <c r="Q86" i="14"/>
  <c r="Q86" i="12"/>
  <c r="Q86" i="13"/>
  <c r="Q86" i="15"/>
  <c r="T163" i="5"/>
  <c r="D17" i="11"/>
  <c r="B17" i="11"/>
  <c r="S325" i="5"/>
  <c r="S485" i="5"/>
  <c r="T342" i="5"/>
  <c r="B49" i="16"/>
  <c r="E19" i="16"/>
  <c r="C24" i="16"/>
  <c r="C13" i="16"/>
  <c r="C11" i="13"/>
  <c r="C17" i="16"/>
  <c r="C18" i="16"/>
  <c r="D10" i="16"/>
  <c r="B13" i="12"/>
  <c r="F18" i="16"/>
  <c r="D14" i="1"/>
  <c r="E14" i="12"/>
  <c r="G228" i="5"/>
  <c r="G227" i="5"/>
  <c r="F13" i="12"/>
  <c r="D25" i="16"/>
  <c r="D11" i="15"/>
  <c r="D23" i="16"/>
  <c r="E24" i="16"/>
  <c r="B14" i="14"/>
  <c r="B51" i="14"/>
  <c r="C11" i="11"/>
  <c r="S163" i="5"/>
  <c r="B14" i="1"/>
  <c r="C50" i="13"/>
  <c r="C14" i="12"/>
  <c r="G471" i="5"/>
  <c r="G470" i="5"/>
  <c r="F13" i="15"/>
  <c r="D14" i="15"/>
  <c r="B50" i="12"/>
  <c r="C49" i="11"/>
  <c r="C52" i="11"/>
  <c r="L64" i="7"/>
  <c r="I66" i="10"/>
  <c r="L66" i="10"/>
  <c r="B59" i="1"/>
  <c r="B97" i="16"/>
  <c r="L64" i="10"/>
  <c r="J97" i="16"/>
  <c r="L66" i="8"/>
  <c r="G66" i="7"/>
  <c r="L66" i="7"/>
  <c r="H59" i="1"/>
  <c r="H66" i="4"/>
  <c r="I97" i="16"/>
  <c r="L66" i="9"/>
  <c r="B66" i="4"/>
  <c r="L64" i="4"/>
  <c r="F59" i="1"/>
  <c r="F97" i="16"/>
  <c r="L64" i="8"/>
  <c r="G97" i="16"/>
  <c r="S342" i="5"/>
  <c r="U504" i="5"/>
  <c r="B15" i="14"/>
  <c r="B19" i="14"/>
  <c r="S488" i="5"/>
  <c r="U404" i="5"/>
  <c r="S323" i="5"/>
  <c r="F120" i="5"/>
  <c r="G387" i="5"/>
  <c r="H383" i="5"/>
  <c r="T504" i="5"/>
  <c r="T180" i="5"/>
  <c r="U180" i="5"/>
  <c r="F23" i="11"/>
  <c r="G301" i="5"/>
  <c r="G300" i="5"/>
  <c r="F10" i="13"/>
  <c r="F282" i="5"/>
  <c r="G463" i="5"/>
  <c r="G462" i="5"/>
  <c r="G468" i="5"/>
  <c r="F10" i="15"/>
  <c r="F25" i="16"/>
  <c r="F363" i="5"/>
  <c r="G455" i="5"/>
  <c r="G454" i="5"/>
  <c r="G460" i="5"/>
  <c r="F9" i="15"/>
  <c r="F24" i="16"/>
  <c r="T84" i="1"/>
  <c r="G334" i="5"/>
  <c r="H328" i="5"/>
  <c r="G331" i="5"/>
  <c r="F444" i="5"/>
  <c r="F201" i="5"/>
  <c r="G382" i="5"/>
  <c r="G381" i="5"/>
  <c r="F10" i="14"/>
  <c r="F22" i="16"/>
  <c r="B26" i="12"/>
  <c r="J298" i="5"/>
  <c r="K294" i="5"/>
  <c r="U423" i="5"/>
  <c r="H213" i="5"/>
  <c r="C25" i="1"/>
  <c r="E25" i="13"/>
  <c r="S78" i="13"/>
  <c r="F22" i="13"/>
  <c r="F46" i="16"/>
  <c r="F23" i="1"/>
  <c r="D50" i="15"/>
  <c r="D54" i="15"/>
  <c r="C54" i="15"/>
  <c r="C15" i="13"/>
  <c r="U242" i="5"/>
  <c r="U245" i="5"/>
  <c r="C15" i="15"/>
  <c r="D15" i="14"/>
  <c r="D19" i="14"/>
  <c r="C23" i="16"/>
  <c r="D22" i="16"/>
  <c r="E22" i="14"/>
  <c r="E49" i="16"/>
  <c r="E22" i="13"/>
  <c r="E46" i="16"/>
  <c r="E16" i="16"/>
  <c r="E21" i="14"/>
  <c r="E48" i="16"/>
  <c r="E20" i="16"/>
  <c r="E11" i="14"/>
  <c r="T326" i="5"/>
  <c r="G123" i="5"/>
  <c r="G122" i="5"/>
  <c r="G128" i="5"/>
  <c r="F8" i="11"/>
  <c r="H306" i="5"/>
  <c r="I302" i="5"/>
  <c r="G225" i="5"/>
  <c r="H221" i="5"/>
  <c r="S83" i="5"/>
  <c r="E23" i="16"/>
  <c r="G136" i="5"/>
  <c r="H132" i="5"/>
  <c r="U78" i="14"/>
  <c r="T78" i="14"/>
  <c r="H374" i="5"/>
  <c r="H373" i="5"/>
  <c r="H379" i="5"/>
  <c r="G9" i="14"/>
  <c r="G22" i="14"/>
  <c r="W226" i="5"/>
  <c r="G496" i="5"/>
  <c r="H490" i="5"/>
  <c r="G493" i="5"/>
  <c r="F9" i="1"/>
  <c r="G367" i="5"/>
  <c r="W307" i="5"/>
  <c r="E11" i="15"/>
  <c r="G448" i="5"/>
  <c r="T81" i="15"/>
  <c r="T78" i="15"/>
  <c r="G285" i="5"/>
  <c r="G284" i="5"/>
  <c r="G290" i="5"/>
  <c r="F8" i="13"/>
  <c r="G366" i="5"/>
  <c r="G365" i="5"/>
  <c r="G371" i="5"/>
  <c r="F8" i="14"/>
  <c r="H456" i="5"/>
  <c r="W469" i="5"/>
  <c r="T81" i="12"/>
  <c r="T82" i="15"/>
  <c r="T83" i="13"/>
  <c r="G447" i="5"/>
  <c r="G446" i="5"/>
  <c r="G452" i="5"/>
  <c r="F8" i="15"/>
  <c r="F23" i="16"/>
  <c r="G204" i="5"/>
  <c r="G203" i="5"/>
  <c r="F8" i="12"/>
  <c r="H209" i="5"/>
  <c r="I205" i="5"/>
  <c r="H286" i="5"/>
  <c r="F412" i="5"/>
  <c r="F415" i="5"/>
  <c r="F416" i="5"/>
  <c r="F16" i="14"/>
  <c r="G409" i="5"/>
  <c r="F11" i="14"/>
  <c r="T404" i="5"/>
  <c r="H140" i="5"/>
  <c r="S79" i="1"/>
  <c r="T105" i="16"/>
  <c r="G131" i="5"/>
  <c r="G130" i="5"/>
  <c r="F9" i="11"/>
  <c r="G220" i="5"/>
  <c r="G219" i="5"/>
  <c r="F10" i="12"/>
  <c r="T76" i="11"/>
  <c r="H131" i="5"/>
  <c r="H130" i="5"/>
  <c r="H136" i="5"/>
  <c r="G9" i="11"/>
  <c r="G21" i="11"/>
  <c r="H375" i="5"/>
  <c r="S79" i="11"/>
  <c r="F41" i="5"/>
  <c r="D49" i="1"/>
  <c r="D80" i="16"/>
  <c r="U82" i="5"/>
  <c r="U83" i="5"/>
  <c r="W145" i="5"/>
  <c r="H124" i="5"/>
  <c r="S81" i="12"/>
  <c r="G169" i="5"/>
  <c r="G172" i="5"/>
  <c r="H166" i="5"/>
  <c r="H397" i="5"/>
  <c r="H396" i="5"/>
  <c r="G14" i="14"/>
  <c r="H390" i="5"/>
  <c r="H389" i="5"/>
  <c r="G13" i="14"/>
  <c r="H176" i="5"/>
  <c r="H175" i="5"/>
  <c r="G17" i="11"/>
  <c r="H338" i="5"/>
  <c r="H337" i="5"/>
  <c r="G17" i="13"/>
  <c r="H154" i="5"/>
  <c r="H153" i="5"/>
  <c r="G14" i="11"/>
  <c r="G39" i="5"/>
  <c r="H316" i="5"/>
  <c r="H315" i="5"/>
  <c r="G14" i="13"/>
  <c r="H147" i="5"/>
  <c r="H146" i="5"/>
  <c r="G13" i="11"/>
  <c r="H309" i="5"/>
  <c r="H308" i="5"/>
  <c r="G13" i="13"/>
  <c r="H478" i="5"/>
  <c r="H477" i="5"/>
  <c r="G14" i="15"/>
  <c r="H257" i="5"/>
  <c r="H256" i="5"/>
  <c r="G17" i="12"/>
  <c r="H419" i="5"/>
  <c r="H418" i="5"/>
  <c r="G17" i="14"/>
  <c r="H228" i="5"/>
  <c r="H227" i="5"/>
  <c r="G13" i="12"/>
  <c r="H471" i="5"/>
  <c r="H470" i="5"/>
  <c r="G13" i="15"/>
  <c r="H235" i="5"/>
  <c r="H234" i="5"/>
  <c r="G14" i="12"/>
  <c r="H464" i="5"/>
  <c r="U488" i="5"/>
  <c r="V405" i="5"/>
  <c r="V161" i="5"/>
  <c r="F250" i="5"/>
  <c r="F253" i="5"/>
  <c r="G247" i="5"/>
  <c r="S81" i="14"/>
  <c r="S81" i="15"/>
  <c r="F173" i="5"/>
  <c r="F16" i="11"/>
  <c r="T21" i="5"/>
  <c r="T22" i="5"/>
  <c r="T23" i="5"/>
  <c r="F497" i="5"/>
  <c r="F16" i="15"/>
  <c r="W388" i="5"/>
  <c r="B15" i="13"/>
  <c r="B19" i="13"/>
  <c r="O72" i="13"/>
  <c r="S423" i="5"/>
  <c r="E23" i="13"/>
  <c r="E47" i="16"/>
  <c r="E11" i="13"/>
  <c r="B15" i="12"/>
  <c r="B19" i="12"/>
  <c r="O70" i="1"/>
  <c r="T423" i="5"/>
  <c r="C28" i="16"/>
  <c r="D28" i="16"/>
  <c r="C11" i="1"/>
  <c r="D15" i="13"/>
  <c r="D19" i="13"/>
  <c r="C15" i="14"/>
  <c r="E9" i="16"/>
  <c r="U326" i="5"/>
  <c r="T488" i="5"/>
  <c r="C54" i="12"/>
  <c r="U342" i="5"/>
  <c r="S164" i="5"/>
  <c r="E21" i="1"/>
  <c r="E37" i="16"/>
  <c r="D54" i="13"/>
  <c r="S261" i="5"/>
  <c r="U161" i="5"/>
  <c r="U164" i="5"/>
  <c r="C54" i="13"/>
  <c r="D11" i="12"/>
  <c r="C11" i="12"/>
  <c r="D11" i="11"/>
  <c r="P70" i="11"/>
  <c r="T161" i="5"/>
  <c r="T164" i="5"/>
  <c r="D11" i="1"/>
  <c r="D8" i="16"/>
  <c r="B11" i="1"/>
  <c r="B8" i="16"/>
  <c r="B20" i="1"/>
  <c r="B36" i="16"/>
  <c r="E25" i="16"/>
  <c r="B11" i="13"/>
  <c r="B17" i="16"/>
  <c r="C22" i="16"/>
  <c r="B23" i="12"/>
  <c r="B44" i="16"/>
  <c r="B16" i="16"/>
  <c r="T405" i="5"/>
  <c r="C50" i="14"/>
  <c r="C54" i="14"/>
  <c r="S405" i="5"/>
  <c r="S407" i="5"/>
  <c r="F47" i="5"/>
  <c r="E8" i="1"/>
  <c r="E8" i="16"/>
  <c r="F28" i="16"/>
  <c r="E23" i="12"/>
  <c r="E44" i="16"/>
  <c r="D11" i="13"/>
  <c r="B18" i="16"/>
  <c r="C21" i="16"/>
  <c r="F32" i="16"/>
  <c r="D14" i="16"/>
  <c r="E12" i="16"/>
  <c r="E21" i="13"/>
  <c r="Q70" i="1"/>
  <c r="D48" i="1"/>
  <c r="D52" i="1"/>
  <c r="E6" i="8"/>
  <c r="E6" i="10"/>
  <c r="E6" i="9"/>
  <c r="E6" i="7"/>
  <c r="E6" i="4"/>
  <c r="E11" i="11"/>
  <c r="B21" i="14"/>
  <c r="B48" i="16"/>
  <c r="B11" i="14"/>
  <c r="B20" i="16"/>
  <c r="C20" i="16"/>
  <c r="E28" i="16"/>
  <c r="B24" i="16"/>
  <c r="B11" i="15"/>
  <c r="U405" i="5"/>
  <c r="U407" i="5"/>
  <c r="B38" i="16"/>
  <c r="B10" i="16"/>
  <c r="C29" i="16"/>
  <c r="T407" i="5"/>
  <c r="C11" i="14"/>
  <c r="B15" i="16"/>
  <c r="Q79" i="1"/>
  <c r="B18" i="1"/>
  <c r="T245" i="5"/>
  <c r="Q72" i="15"/>
  <c r="B13" i="16"/>
  <c r="B25" i="1"/>
  <c r="B32" i="16"/>
  <c r="S326" i="5"/>
  <c r="B24" i="13"/>
  <c r="B48" i="1"/>
  <c r="C19" i="15"/>
  <c r="R72" i="11"/>
  <c r="F29" i="16"/>
  <c r="P72" i="15"/>
  <c r="D29" i="16"/>
  <c r="D18" i="1"/>
  <c r="D50" i="12"/>
  <c r="G28" i="16"/>
  <c r="E29" i="16"/>
  <c r="B28" i="16"/>
  <c r="P72" i="13"/>
  <c r="Q79" i="11"/>
  <c r="C18" i="1"/>
  <c r="F24" i="15"/>
  <c r="B15" i="15"/>
  <c r="O72" i="15"/>
  <c r="C49" i="1"/>
  <c r="C80" i="16"/>
  <c r="B48" i="11"/>
  <c r="E23" i="11"/>
  <c r="C32" i="16"/>
  <c r="D24" i="13"/>
  <c r="C15" i="12"/>
  <c r="C19" i="12"/>
  <c r="P72" i="12"/>
  <c r="D25" i="1"/>
  <c r="D32" i="16"/>
  <c r="Q76" i="1"/>
  <c r="D19" i="15"/>
  <c r="B54" i="12"/>
  <c r="B24" i="1"/>
  <c r="B29" i="16"/>
  <c r="Q81" i="12"/>
  <c r="C19" i="13"/>
  <c r="B49" i="1"/>
  <c r="B54" i="15"/>
  <c r="E32" i="16"/>
  <c r="H97" i="16"/>
  <c r="L97" i="16"/>
  <c r="L66" i="4"/>
  <c r="L59" i="1"/>
  <c r="Q72" i="13"/>
  <c r="E15" i="15"/>
  <c r="E19" i="15"/>
  <c r="F19" i="16"/>
  <c r="F23" i="13"/>
  <c r="F47" i="16"/>
  <c r="H301" i="5"/>
  <c r="H300" i="5"/>
  <c r="G10" i="13"/>
  <c r="G19" i="16"/>
  <c r="G444" i="5"/>
  <c r="H212" i="5"/>
  <c r="H211" i="5"/>
  <c r="H217" i="5"/>
  <c r="G9" i="12"/>
  <c r="G15" i="16"/>
  <c r="G12" i="16"/>
  <c r="H382" i="5"/>
  <c r="H381" i="5"/>
  <c r="H387" i="5"/>
  <c r="G10" i="14"/>
  <c r="U83" i="12"/>
  <c r="V83" i="12"/>
  <c r="I257" i="5"/>
  <c r="I256" i="5"/>
  <c r="H17" i="12"/>
  <c r="H26" i="12"/>
  <c r="U83" i="14"/>
  <c r="G201" i="5"/>
  <c r="H455" i="5"/>
  <c r="H454" i="5"/>
  <c r="H460" i="5"/>
  <c r="G9" i="15"/>
  <c r="G24" i="16"/>
  <c r="H293" i="5"/>
  <c r="H292" i="5"/>
  <c r="G9" i="13"/>
  <c r="G18" i="16"/>
  <c r="G282" i="5"/>
  <c r="U82" i="15"/>
  <c r="G24" i="15"/>
  <c r="G335" i="5"/>
  <c r="G16" i="13"/>
  <c r="H139" i="5"/>
  <c r="H138" i="5"/>
  <c r="H144" i="5"/>
  <c r="G10" i="11"/>
  <c r="H220" i="5"/>
  <c r="H219" i="5"/>
  <c r="H225" i="5"/>
  <c r="G10" i="12"/>
  <c r="U84" i="1"/>
  <c r="K298" i="5"/>
  <c r="L294" i="5"/>
  <c r="H331" i="5"/>
  <c r="H334" i="5"/>
  <c r="H335" i="5"/>
  <c r="H16" i="13"/>
  <c r="I328" i="5"/>
  <c r="I383" i="5"/>
  <c r="G120" i="5"/>
  <c r="G363" i="5"/>
  <c r="I213" i="5"/>
  <c r="S78" i="12"/>
  <c r="S78" i="15"/>
  <c r="S78" i="14"/>
  <c r="P72" i="14"/>
  <c r="E50" i="14"/>
  <c r="D15" i="12"/>
  <c r="D19" i="12"/>
  <c r="Q72" i="12"/>
  <c r="C79" i="16"/>
  <c r="F11" i="15"/>
  <c r="G29" i="16"/>
  <c r="G32" i="16"/>
  <c r="W487" i="5"/>
  <c r="E15" i="13"/>
  <c r="E19" i="13"/>
  <c r="V486" i="5"/>
  <c r="V487" i="5"/>
  <c r="E51" i="15"/>
  <c r="U81" i="14"/>
  <c r="V81" i="14"/>
  <c r="V404" i="5"/>
  <c r="V423" i="5"/>
  <c r="F254" i="5"/>
  <c r="F16" i="12"/>
  <c r="F31" i="16"/>
  <c r="V244" i="5"/>
  <c r="E51" i="12"/>
  <c r="V163" i="5"/>
  <c r="V80" i="5"/>
  <c r="H285" i="5"/>
  <c r="H284" i="5"/>
  <c r="H290" i="5"/>
  <c r="G8" i="13"/>
  <c r="G25" i="14"/>
  <c r="F38" i="16"/>
  <c r="F10" i="16"/>
  <c r="E48" i="1"/>
  <c r="V81" i="5"/>
  <c r="H169" i="5"/>
  <c r="H172" i="5"/>
  <c r="I166" i="5"/>
  <c r="X145" i="5"/>
  <c r="I375" i="5"/>
  <c r="I286" i="5"/>
  <c r="I456" i="5"/>
  <c r="H367" i="5"/>
  <c r="F21" i="1"/>
  <c r="F37" i="16"/>
  <c r="F9" i="16"/>
  <c r="I221" i="5"/>
  <c r="D26" i="16"/>
  <c r="V99" i="5"/>
  <c r="V82" i="5"/>
  <c r="V324" i="5"/>
  <c r="E50" i="13"/>
  <c r="V180" i="5"/>
  <c r="U81" i="12"/>
  <c r="V81" i="12"/>
  <c r="U78" i="12"/>
  <c r="H123" i="5"/>
  <c r="H122" i="5"/>
  <c r="H128" i="5"/>
  <c r="G8" i="11"/>
  <c r="F14" i="16"/>
  <c r="T79" i="1"/>
  <c r="F11" i="12"/>
  <c r="H447" i="5"/>
  <c r="H446" i="5"/>
  <c r="H452" i="5"/>
  <c r="G8" i="15"/>
  <c r="H448" i="5"/>
  <c r="G497" i="5"/>
  <c r="G16" i="15"/>
  <c r="X388" i="5"/>
  <c r="V242" i="5"/>
  <c r="V261" i="5"/>
  <c r="V406" i="5"/>
  <c r="E51" i="14"/>
  <c r="E54" i="14"/>
  <c r="V323" i="5"/>
  <c r="V342" i="5"/>
  <c r="T81" i="13"/>
  <c r="T78" i="13"/>
  <c r="G23" i="13"/>
  <c r="G47" i="16"/>
  <c r="G173" i="5"/>
  <c r="G16" i="11"/>
  <c r="S76" i="11"/>
  <c r="F21" i="11"/>
  <c r="I209" i="5"/>
  <c r="J205" i="5"/>
  <c r="F20" i="16"/>
  <c r="I490" i="5"/>
  <c r="H493" i="5"/>
  <c r="H496" i="5"/>
  <c r="I306" i="5"/>
  <c r="J302" i="5"/>
  <c r="E51" i="13"/>
  <c r="V325" i="5"/>
  <c r="V243" i="5"/>
  <c r="E50" i="12"/>
  <c r="H204" i="5"/>
  <c r="H203" i="5"/>
  <c r="G8" i="12"/>
  <c r="G49" i="16"/>
  <c r="G21" i="16"/>
  <c r="U23" i="5"/>
  <c r="U21" i="5"/>
  <c r="U22" i="5"/>
  <c r="I154" i="5"/>
  <c r="I153" i="5"/>
  <c r="H14" i="11"/>
  <c r="I338" i="5"/>
  <c r="I337" i="5"/>
  <c r="H17" i="13"/>
  <c r="I390" i="5"/>
  <c r="I389" i="5"/>
  <c r="H13" i="14"/>
  <c r="I176" i="5"/>
  <c r="I175" i="5"/>
  <c r="H17" i="11"/>
  <c r="I228" i="5"/>
  <c r="I227" i="5"/>
  <c r="H13" i="12"/>
  <c r="I235" i="5"/>
  <c r="I234" i="5"/>
  <c r="H14" i="12"/>
  <c r="I419" i="5"/>
  <c r="I418" i="5"/>
  <c r="H17" i="14"/>
  <c r="I471" i="5"/>
  <c r="I470" i="5"/>
  <c r="H13" i="15"/>
  <c r="H39" i="5"/>
  <c r="I309" i="5"/>
  <c r="I308" i="5"/>
  <c r="H13" i="13"/>
  <c r="I478" i="5"/>
  <c r="I477" i="5"/>
  <c r="H14" i="15"/>
  <c r="I500" i="5"/>
  <c r="I499" i="5"/>
  <c r="H17" i="15"/>
  <c r="I397" i="5"/>
  <c r="I396" i="5"/>
  <c r="H14" i="14"/>
  <c r="I316" i="5"/>
  <c r="I315" i="5"/>
  <c r="H14" i="13"/>
  <c r="H366" i="5"/>
  <c r="H463" i="5"/>
  <c r="I147" i="5"/>
  <c r="I146" i="5"/>
  <c r="H13" i="11"/>
  <c r="H25" i="12"/>
  <c r="V84" i="11"/>
  <c r="U84" i="11"/>
  <c r="V83" i="14"/>
  <c r="V86" i="14"/>
  <c r="U81" i="11"/>
  <c r="V81" i="11"/>
  <c r="H24" i="11"/>
  <c r="V86" i="13"/>
  <c r="V76" i="11"/>
  <c r="U86" i="15"/>
  <c r="U82" i="12"/>
  <c r="U80" i="11"/>
  <c r="V80" i="11"/>
  <c r="H23" i="11"/>
  <c r="U86" i="12"/>
  <c r="U82" i="13"/>
  <c r="V82" i="13"/>
  <c r="H24" i="13"/>
  <c r="V83" i="13"/>
  <c r="U76" i="11"/>
  <c r="V86" i="15"/>
  <c r="V106" i="16"/>
  <c r="U105" i="16"/>
  <c r="V83" i="15"/>
  <c r="W83" i="15"/>
  <c r="J500" i="5"/>
  <c r="J499" i="5"/>
  <c r="I17" i="15"/>
  <c r="I26" i="15"/>
  <c r="V86" i="12"/>
  <c r="U86" i="13"/>
  <c r="W81" i="11"/>
  <c r="J154" i="5"/>
  <c r="J153" i="5"/>
  <c r="I14" i="11"/>
  <c r="I24" i="11"/>
  <c r="U83" i="13"/>
  <c r="V105" i="16"/>
  <c r="U82" i="14"/>
  <c r="G24" i="14"/>
  <c r="U86" i="14"/>
  <c r="T79" i="11"/>
  <c r="H409" i="5"/>
  <c r="G412" i="5"/>
  <c r="G415" i="5"/>
  <c r="T78" i="12"/>
  <c r="G23" i="12"/>
  <c r="I132" i="5"/>
  <c r="F11" i="16"/>
  <c r="F11" i="11"/>
  <c r="V162" i="5"/>
  <c r="V485" i="5"/>
  <c r="V504" i="5"/>
  <c r="G13" i="16"/>
  <c r="G16" i="16"/>
  <c r="H462" i="5"/>
  <c r="H468" i="5"/>
  <c r="G10" i="15"/>
  <c r="F16" i="16"/>
  <c r="I140" i="5"/>
  <c r="U106" i="16"/>
  <c r="X469" i="5"/>
  <c r="F11" i="13"/>
  <c r="F17" i="16"/>
  <c r="X226" i="5"/>
  <c r="E15" i="11"/>
  <c r="E18" i="11"/>
  <c r="G250" i="5"/>
  <c r="G253" i="5"/>
  <c r="H247" i="5"/>
  <c r="I464" i="5"/>
  <c r="G10" i="16"/>
  <c r="H365" i="5"/>
  <c r="H371" i="5"/>
  <c r="G8" i="14"/>
  <c r="I124" i="5"/>
  <c r="F12" i="16"/>
  <c r="X307" i="5"/>
  <c r="O72" i="12"/>
  <c r="D15" i="11"/>
  <c r="Q70" i="11"/>
  <c r="C19" i="14"/>
  <c r="E26" i="16"/>
  <c r="C15" i="11"/>
  <c r="C18" i="11"/>
  <c r="B15" i="11"/>
  <c r="B30" i="16"/>
  <c r="P78" i="12"/>
  <c r="E20" i="1"/>
  <c r="E36" i="16"/>
  <c r="F5" i="9"/>
  <c r="F5" i="8"/>
  <c r="F5" i="10"/>
  <c r="F5" i="4"/>
  <c r="F5" i="7"/>
  <c r="E11" i="1"/>
  <c r="B50" i="14"/>
  <c r="B79" i="16"/>
  <c r="O72" i="14"/>
  <c r="C26" i="16"/>
  <c r="Q81" i="15"/>
  <c r="P78" i="15"/>
  <c r="C23" i="15"/>
  <c r="C53" i="16"/>
  <c r="D50" i="14"/>
  <c r="D54" i="14"/>
  <c r="Q72" i="14"/>
  <c r="C83" i="16"/>
  <c r="B26" i="16"/>
  <c r="P78" i="13"/>
  <c r="Q81" i="14"/>
  <c r="P76" i="11"/>
  <c r="F8" i="1"/>
  <c r="Q78" i="14"/>
  <c r="C52" i="1"/>
  <c r="D21" i="1"/>
  <c r="D37" i="16"/>
  <c r="D22" i="1"/>
  <c r="D38" i="16"/>
  <c r="D20" i="1"/>
  <c r="B52" i="1"/>
  <c r="B52" i="11"/>
  <c r="B19" i="15"/>
  <c r="D54" i="12"/>
  <c r="D79" i="16"/>
  <c r="D83" i="16"/>
  <c r="Q78" i="15"/>
  <c r="B80" i="16"/>
  <c r="V407" i="5"/>
  <c r="F51" i="15"/>
  <c r="V488" i="5"/>
  <c r="G22" i="16"/>
  <c r="G23" i="14"/>
  <c r="G22" i="12"/>
  <c r="G43" i="16"/>
  <c r="I455" i="5"/>
  <c r="I454" i="5"/>
  <c r="I460" i="5"/>
  <c r="H9" i="15"/>
  <c r="H24" i="16"/>
  <c r="I301" i="5"/>
  <c r="I300" i="5"/>
  <c r="H10" i="13"/>
  <c r="I382" i="5"/>
  <c r="I381" i="5"/>
  <c r="I387" i="5"/>
  <c r="H10" i="14"/>
  <c r="I220" i="5"/>
  <c r="I219" i="5"/>
  <c r="I225" i="5"/>
  <c r="H10" i="12"/>
  <c r="H282" i="5"/>
  <c r="H173" i="5"/>
  <c r="H16" i="11"/>
  <c r="L298" i="5"/>
  <c r="M294" i="5"/>
  <c r="M298" i="5"/>
  <c r="G40" i="16"/>
  <c r="H363" i="5"/>
  <c r="I212" i="5"/>
  <c r="I211" i="5"/>
  <c r="I217" i="5"/>
  <c r="H9" i="12"/>
  <c r="I293" i="5"/>
  <c r="I292" i="5"/>
  <c r="H9" i="13"/>
  <c r="I331" i="5"/>
  <c r="I334" i="5"/>
  <c r="I335" i="5"/>
  <c r="I16" i="13"/>
  <c r="J328" i="5"/>
  <c r="I463" i="5"/>
  <c r="I462" i="5"/>
  <c r="I468" i="5"/>
  <c r="H10" i="15"/>
  <c r="H25" i="16"/>
  <c r="H444" i="5"/>
  <c r="H120" i="5"/>
  <c r="H10" i="16"/>
  <c r="J383" i="5"/>
  <c r="G22" i="15"/>
  <c r="G52" i="16"/>
  <c r="I374" i="5"/>
  <c r="I373" i="5"/>
  <c r="I379" i="5"/>
  <c r="H9" i="14"/>
  <c r="H201" i="5"/>
  <c r="H497" i="5"/>
  <c r="H16" i="15"/>
  <c r="J213" i="5"/>
  <c r="F21" i="15"/>
  <c r="F51" i="16"/>
  <c r="G22" i="11"/>
  <c r="G41" i="16"/>
  <c r="F21" i="12"/>
  <c r="F42" i="16"/>
  <c r="Q121" i="16"/>
  <c r="E54" i="12"/>
  <c r="F49" i="11"/>
  <c r="V164" i="5"/>
  <c r="G44" i="16"/>
  <c r="G9" i="16"/>
  <c r="Y226" i="5"/>
  <c r="Y388" i="5"/>
  <c r="I448" i="5"/>
  <c r="J456" i="5"/>
  <c r="J166" i="5"/>
  <c r="I172" i="5"/>
  <c r="I169" i="5"/>
  <c r="W406" i="5"/>
  <c r="F51" i="14"/>
  <c r="E48" i="11"/>
  <c r="P121" i="16"/>
  <c r="Y307" i="5"/>
  <c r="G25" i="16"/>
  <c r="G23" i="15"/>
  <c r="G53" i="16"/>
  <c r="I136" i="5"/>
  <c r="J132" i="5"/>
  <c r="U81" i="15"/>
  <c r="U78" i="15"/>
  <c r="H15" i="16"/>
  <c r="H22" i="12"/>
  <c r="H43" i="16"/>
  <c r="V326" i="5"/>
  <c r="I496" i="5"/>
  <c r="J490" i="5"/>
  <c r="I493" i="5"/>
  <c r="G21" i="15"/>
  <c r="G23" i="16"/>
  <c r="G11" i="15"/>
  <c r="G11" i="13"/>
  <c r="G17" i="16"/>
  <c r="E49" i="11"/>
  <c r="W324" i="5"/>
  <c r="F50" i="13"/>
  <c r="W244" i="5"/>
  <c r="F51" i="12"/>
  <c r="W342" i="5"/>
  <c r="W323" i="5"/>
  <c r="I128" i="5"/>
  <c r="J124" i="5"/>
  <c r="H412" i="5"/>
  <c r="H415" i="5"/>
  <c r="I409" i="5"/>
  <c r="I139" i="5"/>
  <c r="I138" i="5"/>
  <c r="I144" i="5"/>
  <c r="H10" i="11"/>
  <c r="I123" i="5"/>
  <c r="I122" i="5"/>
  <c r="H8" i="11"/>
  <c r="H29" i="16"/>
  <c r="G20" i="11"/>
  <c r="G11" i="16"/>
  <c r="G11" i="11"/>
  <c r="J221" i="5"/>
  <c r="I290" i="5"/>
  <c r="J286" i="5"/>
  <c r="R72" i="13"/>
  <c r="R70" i="11"/>
  <c r="C30" i="16"/>
  <c r="C33" i="16"/>
  <c r="G11" i="14"/>
  <c r="G21" i="14"/>
  <c r="G48" i="16"/>
  <c r="G20" i="16"/>
  <c r="H250" i="5"/>
  <c r="H253" i="5"/>
  <c r="H254" i="5"/>
  <c r="H16" i="12"/>
  <c r="I247" i="5"/>
  <c r="V81" i="13"/>
  <c r="W81" i="13"/>
  <c r="V78" i="13"/>
  <c r="J147" i="5"/>
  <c r="J146" i="5"/>
  <c r="I13" i="11"/>
  <c r="I39" i="5"/>
  <c r="J338" i="5"/>
  <c r="J337" i="5"/>
  <c r="I17" i="13"/>
  <c r="J390" i="5"/>
  <c r="J389" i="5"/>
  <c r="I13" i="14"/>
  <c r="J257" i="5"/>
  <c r="J256" i="5"/>
  <c r="I17" i="12"/>
  <c r="J478" i="5"/>
  <c r="J477" i="5"/>
  <c r="I14" i="15"/>
  <c r="J419" i="5"/>
  <c r="J418" i="5"/>
  <c r="I17" i="14"/>
  <c r="J235" i="5"/>
  <c r="J234" i="5"/>
  <c r="I14" i="12"/>
  <c r="J316" i="5"/>
  <c r="J315" i="5"/>
  <c r="I14" i="13"/>
  <c r="I447" i="5"/>
  <c r="I131" i="5"/>
  <c r="I204" i="5"/>
  <c r="I285" i="5"/>
  <c r="J471" i="5"/>
  <c r="J470" i="5"/>
  <c r="I13" i="15"/>
  <c r="J176" i="5"/>
  <c r="J175" i="5"/>
  <c r="I17" i="11"/>
  <c r="J309" i="5"/>
  <c r="J308" i="5"/>
  <c r="I13" i="13"/>
  <c r="J397" i="5"/>
  <c r="J396" i="5"/>
  <c r="I14" i="14"/>
  <c r="I366" i="5"/>
  <c r="J228" i="5"/>
  <c r="J227" i="5"/>
  <c r="I13" i="12"/>
  <c r="V82" i="15"/>
  <c r="W82" i="15"/>
  <c r="I24" i="15"/>
  <c r="V82" i="12"/>
  <c r="V82" i="14"/>
  <c r="G22" i="13"/>
  <c r="G46" i="16"/>
  <c r="R72" i="12"/>
  <c r="E15" i="12"/>
  <c r="E54" i="13"/>
  <c r="W163" i="5"/>
  <c r="W162" i="5"/>
  <c r="F48" i="11"/>
  <c r="W81" i="5"/>
  <c r="H32" i="16"/>
  <c r="I130" i="5"/>
  <c r="H9" i="11"/>
  <c r="I284" i="5"/>
  <c r="H8" i="13"/>
  <c r="J209" i="5"/>
  <c r="K205" i="5"/>
  <c r="V245" i="5"/>
  <c r="J375" i="5"/>
  <c r="E15" i="1"/>
  <c r="E15" i="14"/>
  <c r="R72" i="14"/>
  <c r="W80" i="5"/>
  <c r="W99" i="5"/>
  <c r="W82" i="5"/>
  <c r="W486" i="5"/>
  <c r="F50" i="15"/>
  <c r="F54" i="15"/>
  <c r="W404" i="5"/>
  <c r="W423" i="5"/>
  <c r="J464" i="5"/>
  <c r="U79" i="1"/>
  <c r="O121" i="16"/>
  <c r="G254" i="5"/>
  <c r="G16" i="12"/>
  <c r="Y469" i="5"/>
  <c r="W78" i="14"/>
  <c r="J366" i="5"/>
  <c r="J365" i="5"/>
  <c r="K366" i="5"/>
  <c r="K365" i="5"/>
  <c r="K371" i="5"/>
  <c r="J8" i="14"/>
  <c r="J21" i="14"/>
  <c r="V78" i="14"/>
  <c r="J382" i="5"/>
  <c r="J381" i="5"/>
  <c r="J387" i="5"/>
  <c r="I10" i="14"/>
  <c r="I23" i="14"/>
  <c r="I50" i="16"/>
  <c r="U79" i="11"/>
  <c r="V81" i="15"/>
  <c r="V78" i="15"/>
  <c r="W78" i="12"/>
  <c r="J204" i="5"/>
  <c r="J203" i="5"/>
  <c r="K204" i="5"/>
  <c r="K203" i="5"/>
  <c r="K209" i="5"/>
  <c r="J8" i="12"/>
  <c r="J21" i="12"/>
  <c r="H28" i="16"/>
  <c r="H18" i="16"/>
  <c r="G11" i="12"/>
  <c r="G14" i="16"/>
  <c r="G21" i="12"/>
  <c r="J306" i="5"/>
  <c r="K302" i="5"/>
  <c r="V83" i="5"/>
  <c r="W180" i="5"/>
  <c r="W161" i="5"/>
  <c r="W164" i="5"/>
  <c r="V79" i="11"/>
  <c r="W76" i="11"/>
  <c r="I446" i="5"/>
  <c r="I452" i="5"/>
  <c r="H8" i="15"/>
  <c r="F20" i="11"/>
  <c r="F39" i="16"/>
  <c r="R70" i="1"/>
  <c r="E49" i="1"/>
  <c r="I367" i="5"/>
  <c r="E50" i="15"/>
  <c r="E54" i="15"/>
  <c r="R72" i="15"/>
  <c r="W242" i="5"/>
  <c r="W261" i="5"/>
  <c r="J140" i="5"/>
  <c r="G416" i="5"/>
  <c r="G16" i="14"/>
  <c r="I203" i="5"/>
  <c r="H8" i="12"/>
  <c r="V21" i="5"/>
  <c r="V23" i="5"/>
  <c r="V22" i="5"/>
  <c r="Y145" i="5"/>
  <c r="F51" i="13"/>
  <c r="W325" i="5"/>
  <c r="W243" i="5"/>
  <c r="F50" i="12"/>
  <c r="F54" i="12"/>
  <c r="W405" i="5"/>
  <c r="F50" i="14"/>
  <c r="F54" i="14"/>
  <c r="W504" i="5"/>
  <c r="W485" i="5"/>
  <c r="D30" i="16"/>
  <c r="D33" i="16"/>
  <c r="D34" i="16"/>
  <c r="D18" i="11"/>
  <c r="C34" i="16"/>
  <c r="B18" i="11"/>
  <c r="F11" i="1"/>
  <c r="F8" i="16"/>
  <c r="F26" i="16"/>
  <c r="F20" i="1"/>
  <c r="C22" i="13"/>
  <c r="C46" i="16"/>
  <c r="F6" i="4"/>
  <c r="F6" i="10"/>
  <c r="F6" i="7"/>
  <c r="F6" i="8"/>
  <c r="F6" i="9"/>
  <c r="C21" i="12"/>
  <c r="C23" i="12"/>
  <c r="C22" i="12"/>
  <c r="C43" i="16"/>
  <c r="B54" i="14"/>
  <c r="C22" i="15"/>
  <c r="C52" i="16"/>
  <c r="D36" i="16"/>
  <c r="B33" i="16"/>
  <c r="B83" i="16"/>
  <c r="D22" i="14"/>
  <c r="D21" i="14"/>
  <c r="D48" i="16"/>
  <c r="D23" i="14"/>
  <c r="F52" i="11"/>
  <c r="H16" i="16"/>
  <c r="H23" i="12"/>
  <c r="H44" i="16"/>
  <c r="H22" i="16"/>
  <c r="H21" i="16"/>
  <c r="H19" i="16"/>
  <c r="J220" i="5"/>
  <c r="J219" i="5"/>
  <c r="J225" i="5"/>
  <c r="I10" i="12"/>
  <c r="I282" i="5"/>
  <c r="J301" i="5"/>
  <c r="J300" i="5"/>
  <c r="I10" i="13"/>
  <c r="I201" i="5"/>
  <c r="J293" i="5"/>
  <c r="J292" i="5"/>
  <c r="I9" i="13"/>
  <c r="I497" i="5"/>
  <c r="I16" i="15"/>
  <c r="K328" i="5"/>
  <c r="J334" i="5"/>
  <c r="J331" i="5"/>
  <c r="I120" i="5"/>
  <c r="J374" i="5"/>
  <c r="J373" i="5"/>
  <c r="J379" i="5"/>
  <c r="I9" i="14"/>
  <c r="J131" i="5"/>
  <c r="J130" i="5"/>
  <c r="J136" i="5"/>
  <c r="I9" i="11"/>
  <c r="H22" i="15"/>
  <c r="H52" i="16"/>
  <c r="I173" i="5"/>
  <c r="I16" i="11"/>
  <c r="H51" i="15"/>
  <c r="I365" i="5"/>
  <c r="I363" i="5"/>
  <c r="I444" i="5"/>
  <c r="J455" i="5"/>
  <c r="J454" i="5"/>
  <c r="J460" i="5"/>
  <c r="I9" i="15"/>
  <c r="J212" i="5"/>
  <c r="J211" i="5"/>
  <c r="J217" i="5"/>
  <c r="I9" i="12"/>
  <c r="K213" i="5"/>
  <c r="K383" i="5"/>
  <c r="H23" i="15"/>
  <c r="H53" i="16"/>
  <c r="W245" i="5"/>
  <c r="W488" i="5"/>
  <c r="W407" i="5"/>
  <c r="C85" i="16"/>
  <c r="G8" i="16"/>
  <c r="G26" i="16"/>
  <c r="F36" i="16"/>
  <c r="H11" i="12"/>
  <c r="H21" i="12"/>
  <c r="H14" i="16"/>
  <c r="I371" i="5"/>
  <c r="J367" i="5"/>
  <c r="H51" i="13"/>
  <c r="Y325" i="5"/>
  <c r="H9" i="16"/>
  <c r="E80" i="16"/>
  <c r="E52" i="1"/>
  <c r="G31" i="16"/>
  <c r="X82" i="5"/>
  <c r="J123" i="5"/>
  <c r="J122" i="5"/>
  <c r="J128" i="5"/>
  <c r="I8" i="11"/>
  <c r="W22" i="5"/>
  <c r="W21" i="5"/>
  <c r="W23" i="5"/>
  <c r="H49" i="11"/>
  <c r="K124" i="5"/>
  <c r="F15" i="13"/>
  <c r="S72" i="13"/>
  <c r="E52" i="11"/>
  <c r="X80" i="5"/>
  <c r="X99" i="5"/>
  <c r="Y163" i="5"/>
  <c r="Y487" i="5"/>
  <c r="F49" i="1"/>
  <c r="F80" i="16"/>
  <c r="H17" i="16"/>
  <c r="X486" i="5"/>
  <c r="G50" i="15"/>
  <c r="J139" i="5"/>
  <c r="J138" i="5"/>
  <c r="J144" i="5"/>
  <c r="I10" i="11"/>
  <c r="K132" i="5"/>
  <c r="X323" i="5"/>
  <c r="X342" i="5"/>
  <c r="F48" i="1"/>
  <c r="I29" i="16"/>
  <c r="J463" i="5"/>
  <c r="J462" i="5"/>
  <c r="J468" i="5"/>
  <c r="I10" i="15"/>
  <c r="K316" i="5"/>
  <c r="K315" i="5"/>
  <c r="J14" i="13"/>
  <c r="K154" i="5"/>
  <c r="K153" i="5"/>
  <c r="J14" i="11"/>
  <c r="K228" i="5"/>
  <c r="K227" i="5"/>
  <c r="J13" i="12"/>
  <c r="J39" i="5"/>
  <c r="K338" i="5"/>
  <c r="K337" i="5"/>
  <c r="J17" i="13"/>
  <c r="K257" i="5"/>
  <c r="K256" i="5"/>
  <c r="J17" i="12"/>
  <c r="K390" i="5"/>
  <c r="K389" i="5"/>
  <c r="J13" i="14"/>
  <c r="K478" i="5"/>
  <c r="K477" i="5"/>
  <c r="J14" i="15"/>
  <c r="K147" i="5"/>
  <c r="K146" i="5"/>
  <c r="J13" i="11"/>
  <c r="K419" i="5"/>
  <c r="K418" i="5"/>
  <c r="J17" i="14"/>
  <c r="K235" i="5"/>
  <c r="K234" i="5"/>
  <c r="J14" i="12"/>
  <c r="J447" i="5"/>
  <c r="J285" i="5"/>
  <c r="K309" i="5"/>
  <c r="K308" i="5"/>
  <c r="J13" i="13"/>
  <c r="K500" i="5"/>
  <c r="K499" i="5"/>
  <c r="J17" i="15"/>
  <c r="K397" i="5"/>
  <c r="K396" i="5"/>
  <c r="J14" i="14"/>
  <c r="K471" i="5"/>
  <c r="K470" i="5"/>
  <c r="J13" i="15"/>
  <c r="K176" i="5"/>
  <c r="K175" i="5"/>
  <c r="J17" i="11"/>
  <c r="X86" i="13"/>
  <c r="X86" i="14"/>
  <c r="X84" i="11"/>
  <c r="X82" i="12"/>
  <c r="Y82" i="12"/>
  <c r="L228" i="5"/>
  <c r="L227" i="5"/>
  <c r="K13" i="12"/>
  <c r="K24" i="12"/>
  <c r="W82" i="13"/>
  <c r="W80" i="11"/>
  <c r="X80" i="11"/>
  <c r="J23" i="11"/>
  <c r="W86" i="12"/>
  <c r="W83" i="12"/>
  <c r="X86" i="12"/>
  <c r="W86" i="14"/>
  <c r="W83" i="14"/>
  <c r="W86" i="15"/>
  <c r="W82" i="14"/>
  <c r="W84" i="11"/>
  <c r="W106" i="16"/>
  <c r="X86" i="15"/>
  <c r="W86" i="13"/>
  <c r="W82" i="12"/>
  <c r="J290" i="5"/>
  <c r="K286" i="5"/>
  <c r="H11" i="11"/>
  <c r="H11" i="16"/>
  <c r="X504" i="5"/>
  <c r="X485" i="5"/>
  <c r="G50" i="13"/>
  <c r="X324" i="5"/>
  <c r="Z388" i="5"/>
  <c r="E79" i="16"/>
  <c r="X404" i="5"/>
  <c r="X423" i="5"/>
  <c r="G15" i="15"/>
  <c r="G19" i="15"/>
  <c r="E19" i="14"/>
  <c r="X163" i="5"/>
  <c r="I22" i="15"/>
  <c r="I52" i="16"/>
  <c r="I24" i="16"/>
  <c r="K490" i="5"/>
  <c r="J493" i="5"/>
  <c r="J496" i="5"/>
  <c r="F15" i="11"/>
  <c r="S70" i="11"/>
  <c r="K306" i="5"/>
  <c r="L302" i="5"/>
  <c r="H50" i="14"/>
  <c r="Y405" i="5"/>
  <c r="Z145" i="5"/>
  <c r="F15" i="12"/>
  <c r="F19" i="12"/>
  <c r="S72" i="12"/>
  <c r="G42" i="16"/>
  <c r="K464" i="5"/>
  <c r="R121" i="16"/>
  <c r="L205" i="5"/>
  <c r="W105" i="16"/>
  <c r="X78" i="15"/>
  <c r="L468" i="5"/>
  <c r="K463" i="5"/>
  <c r="K462" i="5"/>
  <c r="L463" i="5"/>
  <c r="L462" i="5"/>
  <c r="K10" i="15"/>
  <c r="K23" i="15"/>
  <c r="J284" i="5"/>
  <c r="I8" i="13"/>
  <c r="K221" i="5"/>
  <c r="H11" i="13"/>
  <c r="X242" i="5"/>
  <c r="X261" i="5"/>
  <c r="X180" i="5"/>
  <c r="X161" i="5"/>
  <c r="J169" i="5"/>
  <c r="J172" i="5"/>
  <c r="J173" i="5"/>
  <c r="J16" i="11"/>
  <c r="K166" i="5"/>
  <c r="K140" i="5"/>
  <c r="H11" i="15"/>
  <c r="H21" i="15"/>
  <c r="H23" i="16"/>
  <c r="E18" i="1"/>
  <c r="E30" i="16"/>
  <c r="E33" i="16"/>
  <c r="X81" i="5"/>
  <c r="X76" i="11"/>
  <c r="I8" i="12"/>
  <c r="I18" i="16"/>
  <c r="I22" i="13"/>
  <c r="I46" i="16"/>
  <c r="I28" i="16"/>
  <c r="X244" i="5"/>
  <c r="G51" i="12"/>
  <c r="I415" i="5"/>
  <c r="J409" i="5"/>
  <c r="I412" i="5"/>
  <c r="K456" i="5"/>
  <c r="F15" i="15"/>
  <c r="S72" i="15"/>
  <c r="F15" i="14"/>
  <c r="F19" i="14"/>
  <c r="S72" i="14"/>
  <c r="W83" i="5"/>
  <c r="K375" i="5"/>
  <c r="H12" i="16"/>
  <c r="E19" i="12"/>
  <c r="I12" i="16"/>
  <c r="H22" i="11"/>
  <c r="H41" i="16"/>
  <c r="H13" i="16"/>
  <c r="W326" i="5"/>
  <c r="F54" i="13"/>
  <c r="Z226" i="5"/>
  <c r="G51" i="15"/>
  <c r="X487" i="5"/>
  <c r="G50" i="14"/>
  <c r="X405" i="5"/>
  <c r="G51" i="13"/>
  <c r="X325" i="5"/>
  <c r="Z469" i="5"/>
  <c r="F15" i="1"/>
  <c r="S70" i="1"/>
  <c r="X243" i="5"/>
  <c r="G50" i="12"/>
  <c r="I32" i="16"/>
  <c r="I250" i="5"/>
  <c r="I253" i="5"/>
  <c r="J247" i="5"/>
  <c r="H416" i="5"/>
  <c r="H16" i="14"/>
  <c r="H31" i="16"/>
  <c r="X406" i="5"/>
  <c r="G51" i="14"/>
  <c r="Z307" i="5"/>
  <c r="X162" i="5"/>
  <c r="G48" i="11"/>
  <c r="J448" i="5"/>
  <c r="C42" i="16"/>
  <c r="B34" i="16"/>
  <c r="D50" i="16"/>
  <c r="Y323" i="5"/>
  <c r="I21" i="16"/>
  <c r="I22" i="14"/>
  <c r="I49" i="16"/>
  <c r="I23" i="13"/>
  <c r="I47" i="16"/>
  <c r="I19" i="16"/>
  <c r="I16" i="16"/>
  <c r="I15" i="16"/>
  <c r="I22" i="16"/>
  <c r="I254" i="5"/>
  <c r="I16" i="12"/>
  <c r="J120" i="5"/>
  <c r="J446" i="5"/>
  <c r="J444" i="5"/>
  <c r="K468" i="5"/>
  <c r="J10" i="15"/>
  <c r="J363" i="5"/>
  <c r="J10" i="16"/>
  <c r="K217" i="5"/>
  <c r="L213" i="5"/>
  <c r="K331" i="5"/>
  <c r="K334" i="5"/>
  <c r="J282" i="5"/>
  <c r="K382" i="5"/>
  <c r="K381" i="5"/>
  <c r="K387" i="5"/>
  <c r="J10" i="14"/>
  <c r="J22" i="16"/>
  <c r="K293" i="5"/>
  <c r="K292" i="5"/>
  <c r="J9" i="13"/>
  <c r="K301" i="5"/>
  <c r="K300" i="5"/>
  <c r="J10" i="13"/>
  <c r="J19" i="16"/>
  <c r="J201" i="5"/>
  <c r="K212" i="5"/>
  <c r="K211" i="5"/>
  <c r="J9" i="12"/>
  <c r="J15" i="16"/>
  <c r="L383" i="5"/>
  <c r="J335" i="5"/>
  <c r="J16" i="13"/>
  <c r="L16" i="1"/>
  <c r="K131" i="5"/>
  <c r="K130" i="5"/>
  <c r="K136" i="5"/>
  <c r="J9" i="11"/>
  <c r="X326" i="5"/>
  <c r="X164" i="5"/>
  <c r="X407" i="5"/>
  <c r="E83" i="16"/>
  <c r="B85" i="16"/>
  <c r="T72" i="15"/>
  <c r="Y342" i="5"/>
  <c r="S121" i="16"/>
  <c r="W81" i="15"/>
  <c r="W78" i="15"/>
  <c r="Y162" i="5"/>
  <c r="J250" i="5"/>
  <c r="J253" i="5"/>
  <c r="K247" i="5"/>
  <c r="F19" i="15"/>
  <c r="I21" i="13"/>
  <c r="I45" i="16"/>
  <c r="I11" i="13"/>
  <c r="I17" i="16"/>
  <c r="L464" i="5"/>
  <c r="K379" i="5"/>
  <c r="L375" i="5"/>
  <c r="K460" i="5"/>
  <c r="L456" i="5"/>
  <c r="Y404" i="5"/>
  <c r="Y423" i="5"/>
  <c r="I14" i="16"/>
  <c r="L306" i="5"/>
  <c r="M302" i="5"/>
  <c r="M306" i="5"/>
  <c r="I11" i="12"/>
  <c r="H51" i="14"/>
  <c r="H54" i="14"/>
  <c r="Y406" i="5"/>
  <c r="G54" i="13"/>
  <c r="X83" i="12"/>
  <c r="J25" i="12"/>
  <c r="X83" i="13"/>
  <c r="K139" i="5"/>
  <c r="K138" i="5"/>
  <c r="K144" i="5"/>
  <c r="J10" i="11"/>
  <c r="G54" i="14"/>
  <c r="I416" i="5"/>
  <c r="I16" i="14"/>
  <c r="I31" i="16"/>
  <c r="G79" i="16"/>
  <c r="X245" i="5"/>
  <c r="I10" i="16"/>
  <c r="L209" i="5"/>
  <c r="M205" i="5"/>
  <c r="M209" i="5"/>
  <c r="X488" i="5"/>
  <c r="K220" i="5"/>
  <c r="K219" i="5"/>
  <c r="K225" i="5"/>
  <c r="J10" i="12"/>
  <c r="X21" i="5"/>
  <c r="X23" i="5"/>
  <c r="X22" i="5"/>
  <c r="F52" i="1"/>
  <c r="F79" i="16"/>
  <c r="Y324" i="5"/>
  <c r="Y326" i="5"/>
  <c r="H50" i="13"/>
  <c r="H54" i="13"/>
  <c r="F19" i="13"/>
  <c r="H42" i="16"/>
  <c r="AA469" i="5"/>
  <c r="Y486" i="5"/>
  <c r="H50" i="15"/>
  <c r="H54" i="15"/>
  <c r="J412" i="5"/>
  <c r="J415" i="5"/>
  <c r="K409" i="5"/>
  <c r="W79" i="11"/>
  <c r="K169" i="5"/>
  <c r="K172" i="5"/>
  <c r="I9" i="16"/>
  <c r="G15" i="14"/>
  <c r="G19" i="14"/>
  <c r="T72" i="14"/>
  <c r="AA388" i="5"/>
  <c r="K290" i="5"/>
  <c r="L286" i="5"/>
  <c r="I23" i="15"/>
  <c r="I25" i="16"/>
  <c r="K128" i="5"/>
  <c r="L124" i="5"/>
  <c r="J452" i="5"/>
  <c r="K448" i="5"/>
  <c r="AA307" i="5"/>
  <c r="AA226" i="5"/>
  <c r="Y261" i="5"/>
  <c r="Y242" i="5"/>
  <c r="K455" i="5"/>
  <c r="K454" i="5"/>
  <c r="J9" i="15"/>
  <c r="I13" i="16"/>
  <c r="Y243" i="5"/>
  <c r="H50" i="12"/>
  <c r="W81" i="12"/>
  <c r="X81" i="12"/>
  <c r="E34" i="16"/>
  <c r="L140" i="5"/>
  <c r="X81" i="15"/>
  <c r="Y161" i="5"/>
  <c r="Y164" i="5"/>
  <c r="F18" i="11"/>
  <c r="Y244" i="5"/>
  <c r="H51" i="12"/>
  <c r="Y81" i="14"/>
  <c r="J28" i="16"/>
  <c r="K123" i="5"/>
  <c r="K122" i="5"/>
  <c r="J8" i="11"/>
  <c r="J25" i="16"/>
  <c r="T72" i="13"/>
  <c r="G15" i="13"/>
  <c r="G19" i="13"/>
  <c r="L221" i="5"/>
  <c r="H15" i="11"/>
  <c r="H18" i="11"/>
  <c r="J497" i="5"/>
  <c r="J16" i="15"/>
  <c r="I49" i="11"/>
  <c r="Z163" i="5"/>
  <c r="K285" i="5"/>
  <c r="K284" i="5"/>
  <c r="J8" i="13"/>
  <c r="J18" i="16"/>
  <c r="J32" i="16"/>
  <c r="Y82" i="5"/>
  <c r="I11" i="16"/>
  <c r="I11" i="11"/>
  <c r="J371" i="5"/>
  <c r="K367" i="5"/>
  <c r="F18" i="1"/>
  <c r="F30" i="16"/>
  <c r="X79" i="11"/>
  <c r="Y79" i="11"/>
  <c r="G15" i="11"/>
  <c r="G18" i="11"/>
  <c r="T70" i="11"/>
  <c r="AA145" i="5"/>
  <c r="Y180" i="5"/>
  <c r="K493" i="5"/>
  <c r="K496" i="5"/>
  <c r="G49" i="11"/>
  <c r="Y504" i="5"/>
  <c r="Y485" i="5"/>
  <c r="K374" i="5"/>
  <c r="K373" i="5"/>
  <c r="J9" i="14"/>
  <c r="L257" i="5"/>
  <c r="L256" i="5"/>
  <c r="K17" i="12"/>
  <c r="L309" i="5"/>
  <c r="L308" i="5"/>
  <c r="K13" i="13"/>
  <c r="L13" i="13"/>
  <c r="L500" i="5"/>
  <c r="L499" i="5"/>
  <c r="K17" i="15"/>
  <c r="L154" i="5"/>
  <c r="L153" i="5"/>
  <c r="K14" i="11"/>
  <c r="L14" i="11"/>
  <c r="L338" i="5"/>
  <c r="L337" i="5"/>
  <c r="K17" i="13"/>
  <c r="L390" i="5"/>
  <c r="L389" i="5"/>
  <c r="K13" i="14"/>
  <c r="L478" i="5"/>
  <c r="L477" i="5"/>
  <c r="K14" i="15"/>
  <c r="L14" i="15"/>
  <c r="L147" i="5"/>
  <c r="L146" i="5"/>
  <c r="K13" i="11"/>
  <c r="L13" i="11"/>
  <c r="L316" i="5"/>
  <c r="L315" i="5"/>
  <c r="K14" i="13"/>
  <c r="L419" i="5"/>
  <c r="L418" i="5"/>
  <c r="K17" i="14"/>
  <c r="K39" i="5"/>
  <c r="L235" i="5"/>
  <c r="L234" i="5"/>
  <c r="K14" i="12"/>
  <c r="L14" i="12"/>
  <c r="K447" i="5"/>
  <c r="L176" i="5"/>
  <c r="L175" i="5"/>
  <c r="K17" i="11"/>
  <c r="L397" i="5"/>
  <c r="L396" i="5"/>
  <c r="K14" i="14"/>
  <c r="L471" i="5"/>
  <c r="L470" i="5"/>
  <c r="K13" i="15"/>
  <c r="X82" i="13"/>
  <c r="J24" i="13"/>
  <c r="X81" i="13"/>
  <c r="X82" i="14"/>
  <c r="J24" i="14"/>
  <c r="H8" i="14"/>
  <c r="I8" i="14"/>
  <c r="Y81" i="5"/>
  <c r="G54" i="15"/>
  <c r="L59" i="5"/>
  <c r="T70" i="1"/>
  <c r="Z81" i="5"/>
  <c r="I8" i="15"/>
  <c r="G54" i="12"/>
  <c r="T72" i="12"/>
  <c r="G15" i="12"/>
  <c r="Y80" i="5"/>
  <c r="Y99" i="5"/>
  <c r="H15" i="13"/>
  <c r="H19" i="13"/>
  <c r="J29" i="16"/>
  <c r="J12" i="16"/>
  <c r="L132" i="5"/>
  <c r="X83" i="5"/>
  <c r="Z487" i="5"/>
  <c r="Z162" i="5"/>
  <c r="W78" i="13"/>
  <c r="J23" i="13"/>
  <c r="J47" i="16"/>
  <c r="L13" i="12"/>
  <c r="J23" i="14"/>
  <c r="J50" i="16"/>
  <c r="K282" i="5"/>
  <c r="L382" i="5"/>
  <c r="L381" i="5"/>
  <c r="L387" i="5"/>
  <c r="K10" i="14"/>
  <c r="K363" i="5"/>
  <c r="K201" i="5"/>
  <c r="J416" i="5"/>
  <c r="J16" i="14"/>
  <c r="K335" i="5"/>
  <c r="K16" i="13"/>
  <c r="L16" i="13"/>
  <c r="L293" i="5"/>
  <c r="L292" i="5"/>
  <c r="K9" i="13"/>
  <c r="L301" i="5"/>
  <c r="L300" i="5"/>
  <c r="K10" i="13"/>
  <c r="L220" i="5"/>
  <c r="L219" i="5"/>
  <c r="L225" i="5"/>
  <c r="K10" i="12"/>
  <c r="K120" i="5"/>
  <c r="M383" i="5"/>
  <c r="M387" i="5"/>
  <c r="L217" i="5"/>
  <c r="M213" i="5"/>
  <c r="M217" i="5"/>
  <c r="L374" i="5"/>
  <c r="L373" i="5"/>
  <c r="L379" i="5"/>
  <c r="K9" i="14"/>
  <c r="K446" i="5"/>
  <c r="K444" i="5"/>
  <c r="L455" i="5"/>
  <c r="L454" i="5"/>
  <c r="L460" i="5"/>
  <c r="K9" i="15"/>
  <c r="L212" i="5"/>
  <c r="L211" i="5"/>
  <c r="K9" i="12"/>
  <c r="Y488" i="5"/>
  <c r="J22" i="12"/>
  <c r="J254" i="5"/>
  <c r="J16" i="12"/>
  <c r="J31" i="16"/>
  <c r="U72" i="13"/>
  <c r="D85" i="16"/>
  <c r="Y407" i="5"/>
  <c r="E85" i="16"/>
  <c r="I51" i="13"/>
  <c r="Z325" i="5"/>
  <c r="G30" i="16"/>
  <c r="G33" i="16"/>
  <c r="K15" i="16"/>
  <c r="L15" i="16"/>
  <c r="Y21" i="5"/>
  <c r="Y23" i="5"/>
  <c r="Y22" i="5"/>
  <c r="H15" i="15"/>
  <c r="U72" i="15"/>
  <c r="L367" i="5"/>
  <c r="Z504" i="5"/>
  <c r="U72" i="12"/>
  <c r="H15" i="12"/>
  <c r="H19" i="12"/>
  <c r="K452" i="5"/>
  <c r="L448" i="5"/>
  <c r="L9" i="12"/>
  <c r="AB388" i="5"/>
  <c r="G80" i="16"/>
  <c r="G83" i="16"/>
  <c r="Z324" i="5"/>
  <c r="I50" i="13"/>
  <c r="I54" i="13"/>
  <c r="L136" i="5"/>
  <c r="M132" i="5"/>
  <c r="M136" i="5"/>
  <c r="U70" i="1"/>
  <c r="M59" i="5"/>
  <c r="M63" i="5"/>
  <c r="Y78" i="12"/>
  <c r="X78" i="12"/>
  <c r="L204" i="5"/>
  <c r="L203" i="5"/>
  <c r="K8" i="12"/>
  <c r="K21" i="12"/>
  <c r="K42" i="16"/>
  <c r="L17" i="14"/>
  <c r="K32" i="16"/>
  <c r="L32" i="16"/>
  <c r="L17" i="1"/>
  <c r="J11" i="12"/>
  <c r="J42" i="16"/>
  <c r="J14" i="16"/>
  <c r="Z485" i="5"/>
  <c r="M221" i="5"/>
  <c r="M225" i="5"/>
  <c r="L13" i="1"/>
  <c r="L144" i="5"/>
  <c r="M140" i="5"/>
  <c r="M144" i="5"/>
  <c r="J24" i="16"/>
  <c r="Y245" i="5"/>
  <c r="L128" i="5"/>
  <c r="M124" i="5"/>
  <c r="M128" i="5"/>
  <c r="AB469" i="5"/>
  <c r="F83" i="16"/>
  <c r="Y83" i="12"/>
  <c r="L17" i="11"/>
  <c r="L17" i="15"/>
  <c r="J11" i="13"/>
  <c r="J17" i="16"/>
  <c r="I15" i="15"/>
  <c r="I19" i="15"/>
  <c r="J8" i="15"/>
  <c r="H15" i="14"/>
  <c r="H19" i="14"/>
  <c r="U72" i="14"/>
  <c r="I48" i="11"/>
  <c r="I52" i="11"/>
  <c r="G19" i="12"/>
  <c r="L14" i="13"/>
  <c r="K29" i="16"/>
  <c r="L29" i="16"/>
  <c r="L14" i="1"/>
  <c r="K412" i="5"/>
  <c r="K415" i="5"/>
  <c r="M456" i="5"/>
  <c r="M460" i="5"/>
  <c r="H48" i="11"/>
  <c r="Z244" i="5"/>
  <c r="I51" i="12"/>
  <c r="Z242" i="5"/>
  <c r="Z261" i="5"/>
  <c r="J50" i="13"/>
  <c r="AA324" i="5"/>
  <c r="L285" i="5"/>
  <c r="L39" i="5"/>
  <c r="L447" i="5"/>
  <c r="L139" i="5"/>
  <c r="L138" i="5"/>
  <c r="L366" i="5"/>
  <c r="L131" i="5"/>
  <c r="L130" i="5"/>
  <c r="L123" i="5"/>
  <c r="W83" i="13"/>
  <c r="X82" i="15"/>
  <c r="Y82" i="15"/>
  <c r="K24" i="15"/>
  <c r="X83" i="14"/>
  <c r="X81" i="11"/>
  <c r="Y86" i="13"/>
  <c r="Z82" i="14"/>
  <c r="Y106" i="16"/>
  <c r="Z84" i="11"/>
  <c r="Z83" i="12"/>
  <c r="Y83" i="14"/>
  <c r="Y81" i="11"/>
  <c r="K25" i="11"/>
  <c r="Y83" i="15"/>
  <c r="Y86" i="15"/>
  <c r="X83" i="15"/>
  <c r="Y86" i="12"/>
  <c r="Z86" i="13"/>
  <c r="Y82" i="13"/>
  <c r="K24" i="13"/>
  <c r="J21" i="16"/>
  <c r="I51" i="14"/>
  <c r="Z406" i="5"/>
  <c r="Y83" i="5"/>
  <c r="L446" i="5"/>
  <c r="L452" i="5"/>
  <c r="K8" i="15"/>
  <c r="K10" i="11"/>
  <c r="L10" i="11"/>
  <c r="L17" i="13"/>
  <c r="K497" i="5"/>
  <c r="K16" i="15"/>
  <c r="L16" i="15"/>
  <c r="F33" i="16"/>
  <c r="U70" i="11"/>
  <c r="K173" i="5"/>
  <c r="K16" i="11"/>
  <c r="AA163" i="5"/>
  <c r="AA487" i="5"/>
  <c r="J51" i="13"/>
  <c r="J51" i="14"/>
  <c r="L14" i="14"/>
  <c r="Y83" i="13"/>
  <c r="L51" i="5"/>
  <c r="Z243" i="5"/>
  <c r="I50" i="12"/>
  <c r="Z180" i="5"/>
  <c r="Z161" i="5"/>
  <c r="Z164" i="5"/>
  <c r="I11" i="14"/>
  <c r="I21" i="14"/>
  <c r="I20" i="16"/>
  <c r="Z81" i="13"/>
  <c r="L365" i="5"/>
  <c r="L371" i="5"/>
  <c r="K8" i="14"/>
  <c r="K9" i="11"/>
  <c r="AB226" i="5"/>
  <c r="I53" i="16"/>
  <c r="I51" i="15"/>
  <c r="J16" i="16"/>
  <c r="J23" i="12"/>
  <c r="J44" i="16"/>
  <c r="Z81" i="11"/>
  <c r="J13" i="16"/>
  <c r="M375" i="5"/>
  <c r="M379" i="5"/>
  <c r="M464" i="5"/>
  <c r="M468" i="5"/>
  <c r="K250" i="5"/>
  <c r="K253" i="5"/>
  <c r="G52" i="11"/>
  <c r="Z405" i="5"/>
  <c r="Z486" i="5"/>
  <c r="I50" i="15"/>
  <c r="J9" i="16"/>
  <c r="I21" i="15"/>
  <c r="I51" i="16"/>
  <c r="I11" i="15"/>
  <c r="I23" i="16"/>
  <c r="H20" i="16"/>
  <c r="H11" i="14"/>
  <c r="L284" i="5"/>
  <c r="L290" i="5"/>
  <c r="K8" i="13"/>
  <c r="L122" i="5"/>
  <c r="K8" i="11"/>
  <c r="AB145" i="5"/>
  <c r="H54" i="12"/>
  <c r="AB307" i="5"/>
  <c r="M286" i="5"/>
  <c r="M290" i="5"/>
  <c r="L13" i="14"/>
  <c r="L17" i="12"/>
  <c r="L13" i="15"/>
  <c r="K28" i="16"/>
  <c r="L28" i="16"/>
  <c r="J11" i="16"/>
  <c r="J11" i="11"/>
  <c r="H80" i="16"/>
  <c r="Z105" i="16"/>
  <c r="Z79" i="11"/>
  <c r="I8" i="16"/>
  <c r="I26" i="16"/>
  <c r="H8" i="16"/>
  <c r="L43" i="5"/>
  <c r="J51" i="15"/>
  <c r="K16" i="16"/>
  <c r="L10" i="12"/>
  <c r="L9" i="14"/>
  <c r="K21" i="16"/>
  <c r="K19" i="16"/>
  <c r="L19" i="16"/>
  <c r="L10" i="13"/>
  <c r="K53" i="16"/>
  <c r="K25" i="16"/>
  <c r="L25" i="16"/>
  <c r="L10" i="15"/>
  <c r="K24" i="16"/>
  <c r="L9" i="15"/>
  <c r="K22" i="15"/>
  <c r="K52" i="16"/>
  <c r="L9" i="13"/>
  <c r="K18" i="16"/>
  <c r="L18" i="16"/>
  <c r="L10" i="14"/>
  <c r="K22" i="16"/>
  <c r="L22" i="16"/>
  <c r="L444" i="5"/>
  <c r="K11" i="15"/>
  <c r="L120" i="5"/>
  <c r="L201" i="5"/>
  <c r="K11" i="13"/>
  <c r="L8" i="15"/>
  <c r="L11" i="15"/>
  <c r="Z82" i="12"/>
  <c r="Z83" i="15"/>
  <c r="L363" i="5"/>
  <c r="L282" i="5"/>
  <c r="K26" i="15"/>
  <c r="K25" i="15"/>
  <c r="F85" i="16"/>
  <c r="H26" i="16"/>
  <c r="L8" i="14"/>
  <c r="L11" i="14"/>
  <c r="L8" i="13"/>
  <c r="L11" i="13"/>
  <c r="K9" i="16"/>
  <c r="L9" i="16"/>
  <c r="L9" i="1"/>
  <c r="AD145" i="5"/>
  <c r="AC145" i="5"/>
  <c r="I50" i="14"/>
  <c r="I79" i="16"/>
  <c r="I15" i="11"/>
  <c r="V70" i="11"/>
  <c r="AA342" i="5"/>
  <c r="AA323" i="5"/>
  <c r="F34" i="16"/>
  <c r="Z245" i="5"/>
  <c r="V72" i="15"/>
  <c r="M448" i="5"/>
  <c r="M452" i="5"/>
  <c r="M367" i="5"/>
  <c r="M371" i="5"/>
  <c r="K11" i="16"/>
  <c r="L11" i="16"/>
  <c r="K11" i="11"/>
  <c r="L8" i="11"/>
  <c r="L16" i="16"/>
  <c r="M51" i="5"/>
  <c r="M55" i="5"/>
  <c r="AA81" i="5"/>
  <c r="L16" i="11"/>
  <c r="Y81" i="15"/>
  <c r="Z81" i="15"/>
  <c r="Y78" i="15"/>
  <c r="Y76" i="11"/>
  <c r="J25" i="14"/>
  <c r="M123" i="5"/>
  <c r="M58" i="5"/>
  <c r="M57" i="5"/>
  <c r="M382" i="5"/>
  <c r="M381" i="5"/>
  <c r="M42" i="5"/>
  <c r="M139" i="5"/>
  <c r="M138" i="5"/>
  <c r="M301" i="5"/>
  <c r="M300" i="5"/>
  <c r="M212" i="5"/>
  <c r="M211" i="5"/>
  <c r="M285" i="5"/>
  <c r="M455" i="5"/>
  <c r="M454" i="5"/>
  <c r="M220" i="5"/>
  <c r="M219" i="5"/>
  <c r="M447" i="5"/>
  <c r="M463" i="5"/>
  <c r="M462" i="5"/>
  <c r="M204" i="5"/>
  <c r="M293" i="5"/>
  <c r="M292" i="5"/>
  <c r="M374" i="5"/>
  <c r="M373" i="5"/>
  <c r="M131" i="5"/>
  <c r="M130" i="5"/>
  <c r="M50" i="5"/>
  <c r="M49" i="5"/>
  <c r="M366" i="5"/>
  <c r="X105" i="16"/>
  <c r="X106" i="16"/>
  <c r="Y82" i="14"/>
  <c r="Y105" i="16"/>
  <c r="Z81" i="12"/>
  <c r="Y80" i="11"/>
  <c r="K23" i="11"/>
  <c r="Y86" i="14"/>
  <c r="Y84" i="11"/>
  <c r="AA325" i="5"/>
  <c r="J11" i="14"/>
  <c r="J20" i="16"/>
  <c r="AA485" i="5"/>
  <c r="K51" i="12"/>
  <c r="AB244" i="5"/>
  <c r="I54" i="12"/>
  <c r="K416" i="5"/>
  <c r="K16" i="14"/>
  <c r="L16" i="14"/>
  <c r="U121" i="16"/>
  <c r="Z488" i="5"/>
  <c r="L24" i="16"/>
  <c r="AD307" i="5"/>
  <c r="AC307" i="5"/>
  <c r="AA162" i="5"/>
  <c r="AA406" i="5"/>
  <c r="L21" i="16"/>
  <c r="I54" i="15"/>
  <c r="K12" i="16"/>
  <c r="L12" i="16"/>
  <c r="L9" i="11"/>
  <c r="I48" i="16"/>
  <c r="AA405" i="5"/>
  <c r="J50" i="14"/>
  <c r="J54" i="14"/>
  <c r="K22" i="11"/>
  <c r="K41" i="16"/>
  <c r="K13" i="16"/>
  <c r="L13" i="16"/>
  <c r="Z82" i="13"/>
  <c r="Z86" i="15"/>
  <c r="J23" i="16"/>
  <c r="J11" i="15"/>
  <c r="K11" i="12"/>
  <c r="K14" i="16"/>
  <c r="L14" i="16"/>
  <c r="L8" i="12"/>
  <c r="L11" i="12"/>
  <c r="H30" i="16"/>
  <c r="H19" i="15"/>
  <c r="K50" i="14"/>
  <c r="AB405" i="5"/>
  <c r="J54" i="13"/>
  <c r="H52" i="11"/>
  <c r="AD469" i="5"/>
  <c r="AC469" i="5"/>
  <c r="AD388" i="5"/>
  <c r="AC388" i="5"/>
  <c r="AB243" i="5"/>
  <c r="K51" i="13"/>
  <c r="L51" i="13"/>
  <c r="K20" i="16"/>
  <c r="K11" i="14"/>
  <c r="AA243" i="5"/>
  <c r="AB324" i="5"/>
  <c r="AB162" i="5"/>
  <c r="K254" i="5"/>
  <c r="K16" i="12"/>
  <c r="L16" i="12"/>
  <c r="AC226" i="5"/>
  <c r="AD226" i="5"/>
  <c r="AA99" i="5"/>
  <c r="AA80" i="5"/>
  <c r="AA244" i="5"/>
  <c r="J51" i="12"/>
  <c r="L51" i="12"/>
  <c r="AA82" i="5"/>
  <c r="K21" i="15"/>
  <c r="K51" i="16"/>
  <c r="K23" i="16"/>
  <c r="Z86" i="14"/>
  <c r="Z21" i="5"/>
  <c r="Z23" i="5"/>
  <c r="Z22" i="5"/>
  <c r="V72" i="12"/>
  <c r="I15" i="12"/>
  <c r="H79" i="16"/>
  <c r="K10" i="16"/>
  <c r="L10" i="16"/>
  <c r="L10" i="1"/>
  <c r="K17" i="16"/>
  <c r="L17" i="16"/>
  <c r="AB406" i="5"/>
  <c r="K51" i="14"/>
  <c r="L51" i="14"/>
  <c r="J26" i="15"/>
  <c r="J25" i="15"/>
  <c r="G34" i="16"/>
  <c r="M43" i="5"/>
  <c r="M47" i="5"/>
  <c r="AA83" i="5"/>
  <c r="M365" i="5"/>
  <c r="M363" i="5"/>
  <c r="M446" i="5"/>
  <c r="M444" i="5"/>
  <c r="M39" i="5"/>
  <c r="M41" i="5"/>
  <c r="Z80" i="1"/>
  <c r="Z84" i="1"/>
  <c r="V84" i="1"/>
  <c r="Y84" i="1"/>
  <c r="Z79" i="1"/>
  <c r="Z81" i="1"/>
  <c r="X84" i="1"/>
  <c r="W84" i="1"/>
  <c r="K50" i="13"/>
  <c r="M203" i="5"/>
  <c r="M201" i="5"/>
  <c r="L20" i="16"/>
  <c r="M284" i="5"/>
  <c r="M282" i="5"/>
  <c r="M122" i="5"/>
  <c r="M120" i="5"/>
  <c r="K49" i="11"/>
  <c r="AB161" i="5"/>
  <c r="G85" i="16"/>
  <c r="K50" i="12"/>
  <c r="L23" i="16"/>
  <c r="K15" i="13"/>
  <c r="K19" i="13"/>
  <c r="X72" i="13"/>
  <c r="K15" i="14"/>
  <c r="K19" i="14"/>
  <c r="X72" i="14"/>
  <c r="K15" i="12"/>
  <c r="K19" i="12"/>
  <c r="J49" i="11"/>
  <c r="L49" i="11"/>
  <c r="AB487" i="5"/>
  <c r="K51" i="15"/>
  <c r="Z404" i="5"/>
  <c r="Z407" i="5"/>
  <c r="Z423" i="5"/>
  <c r="AB81" i="5"/>
  <c r="AA326" i="5"/>
  <c r="AB163" i="5"/>
  <c r="Z342" i="5"/>
  <c r="Z323" i="5"/>
  <c r="Z326" i="5"/>
  <c r="AB325" i="5"/>
  <c r="K54" i="13"/>
  <c r="L50" i="13"/>
  <c r="L54" i="13"/>
  <c r="AB180" i="5"/>
  <c r="AB342" i="5"/>
  <c r="I54" i="14"/>
  <c r="L50" i="14"/>
  <c r="L54" i="14"/>
  <c r="J15" i="11"/>
  <c r="J18" i="11"/>
  <c r="W70" i="11"/>
  <c r="Z99" i="5"/>
  <c r="Z80" i="5"/>
  <c r="AB504" i="5"/>
  <c r="AB485" i="5"/>
  <c r="J50" i="12"/>
  <c r="J54" i="12"/>
  <c r="J48" i="16"/>
  <c r="K31" i="16"/>
  <c r="L31" i="16"/>
  <c r="AB323" i="5"/>
  <c r="J15" i="13"/>
  <c r="J19" i="13"/>
  <c r="W72" i="13"/>
  <c r="J15" i="12"/>
  <c r="J19" i="12"/>
  <c r="W70" i="1"/>
  <c r="AB486" i="5"/>
  <c r="K50" i="15"/>
  <c r="AA486" i="5"/>
  <c r="AA488" i="5"/>
  <c r="J50" i="15"/>
  <c r="J54" i="15"/>
  <c r="Z82" i="5"/>
  <c r="AB242" i="5"/>
  <c r="AB245" i="5"/>
  <c r="H33" i="16"/>
  <c r="H34" i="16"/>
  <c r="J15" i="15"/>
  <c r="AA22" i="5"/>
  <c r="AA21" i="5"/>
  <c r="AA23" i="5"/>
  <c r="AB261" i="5"/>
  <c r="AB80" i="5"/>
  <c r="AB99" i="5"/>
  <c r="AA261" i="5"/>
  <c r="AA404" i="5"/>
  <c r="AA407" i="5"/>
  <c r="AA423" i="5"/>
  <c r="K54" i="14"/>
  <c r="Z80" i="11"/>
  <c r="Z81" i="14"/>
  <c r="Z83" i="13"/>
  <c r="Z106" i="16"/>
  <c r="Z83" i="14"/>
  <c r="Z82" i="15"/>
  <c r="Z86" i="12"/>
  <c r="AA242" i="5"/>
  <c r="AA245" i="5"/>
  <c r="I18" i="11"/>
  <c r="AA161" i="5"/>
  <c r="AA164" i="5"/>
  <c r="H83" i="16"/>
  <c r="AB82" i="5"/>
  <c r="AB423" i="5"/>
  <c r="AA504" i="5"/>
  <c r="K48" i="11"/>
  <c r="AB404" i="5"/>
  <c r="AB407" i="5"/>
  <c r="I19" i="12"/>
  <c r="AA180" i="5"/>
  <c r="K54" i="12"/>
  <c r="L50" i="12"/>
  <c r="L54" i="12"/>
  <c r="J48" i="11"/>
  <c r="K15" i="11"/>
  <c r="K18" i="11"/>
  <c r="L11" i="11"/>
  <c r="L8" i="1"/>
  <c r="L11" i="1"/>
  <c r="K8" i="16"/>
  <c r="K26" i="16"/>
  <c r="J8" i="16"/>
  <c r="J26" i="16"/>
  <c r="AB164" i="5"/>
  <c r="W79" i="1"/>
  <c r="X79" i="1"/>
  <c r="W72" i="15"/>
  <c r="V79" i="1"/>
  <c r="Y76" i="1"/>
  <c r="Y79" i="1"/>
  <c r="X72" i="12"/>
  <c r="J80" i="16"/>
  <c r="K52" i="11"/>
  <c r="L15" i="12"/>
  <c r="L19" i="12"/>
  <c r="AB326" i="5"/>
  <c r="Z83" i="5"/>
  <c r="W72" i="12"/>
  <c r="T121" i="16"/>
  <c r="J79" i="16"/>
  <c r="L48" i="1"/>
  <c r="J19" i="15"/>
  <c r="L50" i="15"/>
  <c r="J52" i="11"/>
  <c r="L48" i="11"/>
  <c r="L52" i="11"/>
  <c r="J15" i="14"/>
  <c r="J19" i="14"/>
  <c r="W72" i="14"/>
  <c r="I15" i="14"/>
  <c r="V72" i="14"/>
  <c r="V70" i="1"/>
  <c r="L15" i="11"/>
  <c r="L18" i="11"/>
  <c r="Z78" i="15"/>
  <c r="AB83" i="5"/>
  <c r="K54" i="15"/>
  <c r="L51" i="15"/>
  <c r="K79" i="16"/>
  <c r="K80" i="16"/>
  <c r="X70" i="1"/>
  <c r="J30" i="16"/>
  <c r="J33" i="16"/>
  <c r="J34" i="16"/>
  <c r="AB488" i="5"/>
  <c r="K15" i="15"/>
  <c r="K19" i="15"/>
  <c r="X72" i="15"/>
  <c r="I15" i="13"/>
  <c r="V72" i="13"/>
  <c r="V121" i="16"/>
  <c r="X70" i="11"/>
  <c r="Y70" i="11"/>
  <c r="W121" i="16"/>
  <c r="L8" i="16"/>
  <c r="L26" i="16"/>
  <c r="L54" i="15"/>
  <c r="J38" i="16"/>
  <c r="L15" i="15"/>
  <c r="L19" i="15"/>
  <c r="K30" i="16"/>
  <c r="K33" i="16"/>
  <c r="K83" i="16"/>
  <c r="I19" i="13"/>
  <c r="L15" i="13"/>
  <c r="L19" i="13"/>
  <c r="I19" i="14"/>
  <c r="L15" i="14"/>
  <c r="L19" i="14"/>
  <c r="J83" i="16"/>
  <c r="L79" i="16"/>
  <c r="I80" i="16"/>
  <c r="I83" i="16"/>
  <c r="L49" i="1"/>
  <c r="L52" i="1"/>
  <c r="X121" i="16"/>
  <c r="I30" i="16"/>
  <c r="L15" i="1"/>
  <c r="L18" i="1"/>
  <c r="I37" i="16"/>
  <c r="J36" i="16"/>
  <c r="L80" i="16"/>
  <c r="I36" i="16"/>
  <c r="K34" i="16"/>
  <c r="L83" i="16"/>
  <c r="I33" i="16"/>
  <c r="L30" i="16"/>
  <c r="L33" i="16"/>
  <c r="H85" i="16"/>
  <c r="I85" i="16"/>
  <c r="K85" i="16"/>
  <c r="I34" i="16"/>
  <c r="J85" i="16"/>
  <c r="L34" i="16"/>
  <c r="S27" i="5"/>
  <c r="R27" i="5"/>
  <c r="T27" i="5"/>
  <c r="U27" i="5"/>
  <c r="V27" i="5"/>
  <c r="W27" i="5"/>
  <c r="X27" i="5"/>
  <c r="Y27" i="5"/>
  <c r="Z27" i="5"/>
  <c r="AA27" i="5"/>
  <c r="D26" i="12"/>
  <c r="C26" i="12"/>
  <c r="C25" i="12"/>
  <c r="D25" i="12"/>
  <c r="B23" i="1"/>
  <c r="I26" i="13"/>
  <c r="J26" i="13"/>
  <c r="J25" i="13"/>
  <c r="I25" i="13"/>
  <c r="H26" i="13"/>
  <c r="H25" i="13"/>
  <c r="I21" i="11"/>
  <c r="I40" i="16"/>
  <c r="I20" i="11"/>
  <c r="I39" i="16"/>
  <c r="I22" i="11"/>
  <c r="I41" i="16"/>
  <c r="J24" i="12"/>
  <c r="J26" i="12"/>
  <c r="J27" i="12"/>
  <c r="D25" i="14"/>
  <c r="D26" i="14"/>
  <c r="D27" i="14"/>
  <c r="J21" i="11"/>
  <c r="J40" i="16"/>
  <c r="J22" i="11"/>
  <c r="J41" i="16"/>
  <c r="J20" i="11"/>
  <c r="J39" i="16"/>
  <c r="H26" i="14"/>
  <c r="H25" i="14"/>
  <c r="H22" i="14"/>
  <c r="H49" i="16"/>
  <c r="H23" i="14"/>
  <c r="H50" i="16"/>
  <c r="H21" i="14"/>
  <c r="H48" i="16"/>
  <c r="B25" i="13"/>
  <c r="C25" i="13"/>
  <c r="B26" i="13"/>
  <c r="B21" i="15"/>
  <c r="B51" i="16"/>
  <c r="B23" i="15"/>
  <c r="B53" i="16"/>
  <c r="B22" i="15"/>
  <c r="B52" i="16"/>
  <c r="K27" i="15"/>
  <c r="K25" i="13"/>
  <c r="W81" i="14"/>
  <c r="I25" i="11"/>
  <c r="C21" i="15"/>
  <c r="C51" i="16"/>
  <c r="G21" i="13"/>
  <c r="G45" i="16"/>
  <c r="Q78" i="12"/>
  <c r="D21" i="12"/>
  <c r="G25" i="15"/>
  <c r="G27" i="15"/>
  <c r="F21" i="13"/>
  <c r="F45" i="16"/>
  <c r="F25" i="11"/>
  <c r="B23" i="14"/>
  <c r="E23" i="1"/>
  <c r="E24" i="12"/>
  <c r="E24" i="13"/>
  <c r="E24" i="15"/>
  <c r="E54" i="16"/>
  <c r="L99" i="16"/>
  <c r="O81" i="15"/>
  <c r="J21" i="1"/>
  <c r="J37" i="16"/>
  <c r="I23" i="1"/>
  <c r="G23" i="11"/>
  <c r="G26" i="14"/>
  <c r="C24" i="1"/>
  <c r="C24" i="12"/>
  <c r="K26" i="12"/>
  <c r="Y78" i="14"/>
  <c r="Y81" i="12"/>
  <c r="J22" i="14"/>
  <c r="J49" i="16"/>
  <c r="X78" i="13"/>
  <c r="D49" i="16"/>
  <c r="F22" i="11"/>
  <c r="V78" i="12"/>
  <c r="Q76" i="11"/>
  <c r="S83" i="1"/>
  <c r="L63" i="12"/>
  <c r="Y81" i="13"/>
  <c r="Y78" i="13"/>
  <c r="D23" i="15"/>
  <c r="D21" i="15"/>
  <c r="D22" i="15"/>
  <c r="F25" i="1"/>
  <c r="F24" i="1"/>
  <c r="E25" i="15"/>
  <c r="E26" i="15"/>
  <c r="B25" i="15"/>
  <c r="B26" i="15"/>
  <c r="E24" i="11"/>
  <c r="E25" i="11"/>
  <c r="D24" i="11"/>
  <c r="D25" i="11"/>
  <c r="L86" i="16"/>
  <c r="O85" i="12"/>
  <c r="O85" i="15"/>
  <c r="O83" i="1"/>
  <c r="O83" i="11"/>
  <c r="O85" i="14"/>
  <c r="O107" i="16"/>
  <c r="O85" i="13"/>
  <c r="G24" i="1"/>
  <c r="G25" i="1"/>
  <c r="K26" i="14"/>
  <c r="J26" i="14"/>
  <c r="K25" i="14"/>
  <c r="J22" i="13"/>
  <c r="J46" i="16"/>
  <c r="J21" i="13"/>
  <c r="K21" i="11"/>
  <c r="K40" i="16"/>
  <c r="K20" i="11"/>
  <c r="C44" i="16"/>
  <c r="C27" i="12"/>
  <c r="I24" i="12"/>
  <c r="H24" i="12"/>
  <c r="H27" i="12"/>
  <c r="G39" i="16"/>
  <c r="G51" i="16"/>
  <c r="B50" i="16"/>
  <c r="D42" i="16"/>
  <c r="F40" i="16"/>
  <c r="F26" i="11"/>
  <c r="G26" i="13"/>
  <c r="G25" i="13"/>
  <c r="F26" i="13"/>
  <c r="J24" i="11"/>
  <c r="J25" i="11"/>
  <c r="X78" i="14"/>
  <c r="X81" i="14"/>
  <c r="C23" i="1"/>
  <c r="D23" i="1"/>
  <c r="D54" i="16"/>
  <c r="R81" i="15"/>
  <c r="R78" i="15"/>
  <c r="O81" i="13"/>
  <c r="O78" i="13"/>
  <c r="B26" i="14"/>
  <c r="B25" i="14"/>
  <c r="K24" i="11"/>
  <c r="J27" i="14"/>
  <c r="L85" i="16"/>
  <c r="J43" i="16"/>
  <c r="J22" i="15"/>
  <c r="J52" i="16"/>
  <c r="J21" i="15"/>
  <c r="J23" i="15"/>
  <c r="J53" i="16"/>
  <c r="B26" i="1"/>
  <c r="K25" i="12"/>
  <c r="K23" i="12"/>
  <c r="K44" i="16"/>
  <c r="K22" i="12"/>
  <c r="I24" i="13"/>
  <c r="I27" i="13"/>
  <c r="C23" i="13"/>
  <c r="C47" i="16"/>
  <c r="C21" i="13"/>
  <c r="H20" i="11"/>
  <c r="H21" i="11"/>
  <c r="H40" i="16"/>
  <c r="U81" i="13"/>
  <c r="U78" i="13"/>
  <c r="K24" i="14"/>
  <c r="H51" i="16"/>
  <c r="I25" i="12"/>
  <c r="I26" i="12"/>
  <c r="H24" i="14"/>
  <c r="H27" i="14"/>
  <c r="I24" i="14"/>
  <c r="G50" i="16"/>
  <c r="G27" i="14"/>
  <c r="D22" i="12"/>
  <c r="D43" i="16"/>
  <c r="D23" i="12"/>
  <c r="D44" i="16"/>
  <c r="B20" i="11"/>
  <c r="B22" i="11"/>
  <c r="B21" i="11"/>
  <c r="K26" i="13"/>
  <c r="J24" i="15"/>
  <c r="J54" i="16"/>
  <c r="I23" i="11"/>
  <c r="C21" i="11"/>
  <c r="C40" i="16"/>
  <c r="C20" i="11"/>
  <c r="C22" i="11"/>
  <c r="C41" i="16"/>
  <c r="I25" i="15"/>
  <c r="I27" i="15"/>
  <c r="G24" i="11"/>
  <c r="H25" i="11"/>
  <c r="I25" i="14"/>
  <c r="I26" i="14"/>
  <c r="H25" i="15"/>
  <c r="H24" i="15"/>
  <c r="H26" i="15"/>
  <c r="F22" i="12"/>
  <c r="F23" i="12"/>
  <c r="F44" i="16"/>
  <c r="B21" i="12"/>
  <c r="B22" i="12"/>
  <c r="F26" i="15"/>
  <c r="F25" i="15"/>
  <c r="F25" i="13"/>
  <c r="L25" i="13"/>
  <c r="C24" i="11"/>
  <c r="B25" i="11"/>
  <c r="B24" i="11"/>
  <c r="C21" i="1"/>
  <c r="C22" i="1"/>
  <c r="C20" i="1"/>
  <c r="P81" i="14"/>
  <c r="P78" i="14"/>
  <c r="E24" i="1"/>
  <c r="D24" i="1"/>
  <c r="D26" i="1"/>
  <c r="E25" i="1"/>
  <c r="D26" i="15"/>
  <c r="D25" i="15"/>
  <c r="E26" i="14"/>
  <c r="F26" i="14"/>
  <c r="F25" i="14"/>
  <c r="F25" i="12"/>
  <c r="F26" i="12"/>
  <c r="G24" i="13"/>
  <c r="C26" i="15"/>
  <c r="B24" i="12"/>
  <c r="L88" i="16"/>
  <c r="F22" i="14"/>
  <c r="F49" i="16"/>
  <c r="F21" i="14"/>
  <c r="F23" i="14"/>
  <c r="F50" i="16"/>
  <c r="F22" i="15"/>
  <c r="F23" i="15"/>
  <c r="F53" i="16"/>
  <c r="G25" i="12"/>
  <c r="G26" i="12"/>
  <c r="Q81" i="13"/>
  <c r="Q78" i="13"/>
  <c r="E45" i="16"/>
  <c r="D26" i="13"/>
  <c r="C26" i="13"/>
  <c r="F24" i="13"/>
  <c r="L24" i="13"/>
  <c r="G25" i="11"/>
  <c r="F24" i="12"/>
  <c r="G24" i="12"/>
  <c r="G27" i="12"/>
  <c r="C24" i="14"/>
  <c r="C26" i="14"/>
  <c r="C25" i="14"/>
  <c r="E20" i="11"/>
  <c r="E21" i="11"/>
  <c r="E40" i="16"/>
  <c r="E25" i="12"/>
  <c r="B25" i="12"/>
  <c r="F24" i="14"/>
  <c r="R79" i="1"/>
  <c r="R81" i="12"/>
  <c r="E25" i="14"/>
  <c r="E27" i="14"/>
  <c r="K24" i="1"/>
  <c r="K55" i="16"/>
  <c r="J24" i="1"/>
  <c r="J55" i="16"/>
  <c r="K25" i="1"/>
  <c r="J25" i="1"/>
  <c r="I24" i="1"/>
  <c r="I25" i="1"/>
  <c r="I56" i="16"/>
  <c r="E21" i="12"/>
  <c r="E22" i="12"/>
  <c r="E43" i="16"/>
  <c r="B24" i="14"/>
  <c r="B27" i="14"/>
  <c r="G22" i="1"/>
  <c r="G38" i="16"/>
  <c r="G20" i="1"/>
  <c r="G21" i="1"/>
  <c r="G37" i="16"/>
  <c r="H25" i="1"/>
  <c r="H56" i="16"/>
  <c r="H24" i="1"/>
  <c r="H55" i="16"/>
  <c r="H23" i="1"/>
  <c r="H20" i="1"/>
  <c r="H21" i="1"/>
  <c r="H37" i="16"/>
  <c r="H22" i="1"/>
  <c r="H38" i="16"/>
  <c r="O79" i="1"/>
  <c r="K23" i="1"/>
  <c r="K20" i="1"/>
  <c r="K21" i="1"/>
  <c r="K37" i="16"/>
  <c r="K22" i="1"/>
  <c r="K38" i="16"/>
  <c r="S85" i="15"/>
  <c r="S85" i="13"/>
  <c r="Q83" i="11"/>
  <c r="Q107" i="16"/>
  <c r="Q85" i="14"/>
  <c r="A18" i="5"/>
  <c r="A345" i="5"/>
  <c r="P129" i="16"/>
  <c r="A4" i="12"/>
  <c r="A183" i="5"/>
  <c r="A21" i="5"/>
  <c r="P126" i="16"/>
  <c r="A4" i="13"/>
  <c r="A264" i="5"/>
  <c r="A4" i="11"/>
  <c r="A102" i="5"/>
  <c r="A426" i="5"/>
  <c r="P127" i="16"/>
  <c r="P125" i="16"/>
  <c r="D28" i="14"/>
  <c r="D55" i="14"/>
  <c r="D56" i="14"/>
  <c r="D64" i="14"/>
  <c r="A4" i="14"/>
  <c r="F27" i="13"/>
  <c r="F55" i="13"/>
  <c r="D27" i="12"/>
  <c r="K54" i="16"/>
  <c r="C27" i="15"/>
  <c r="L24" i="15"/>
  <c r="F54" i="16"/>
  <c r="C56" i="16"/>
  <c r="L26" i="12"/>
  <c r="H27" i="15"/>
  <c r="H28" i="15"/>
  <c r="I23" i="12"/>
  <c r="I44" i="16"/>
  <c r="I22" i="12"/>
  <c r="I43" i="16"/>
  <c r="I21" i="12"/>
  <c r="I42" i="16"/>
  <c r="K21" i="13"/>
  <c r="K22" i="13"/>
  <c r="K46" i="16"/>
  <c r="K23" i="13"/>
  <c r="K47" i="16"/>
  <c r="K55" i="15"/>
  <c r="K56" i="15"/>
  <c r="K64" i="15"/>
  <c r="K28" i="15"/>
  <c r="L24" i="14"/>
  <c r="G54" i="16"/>
  <c r="J26" i="11"/>
  <c r="J27" i="11"/>
  <c r="D21" i="11"/>
  <c r="D40" i="16"/>
  <c r="D22" i="11"/>
  <c r="D41" i="16"/>
  <c r="D20" i="11"/>
  <c r="H54" i="16"/>
  <c r="D56" i="16"/>
  <c r="L24" i="12"/>
  <c r="E26" i="1"/>
  <c r="E27" i="1"/>
  <c r="C55" i="16"/>
  <c r="B27" i="15"/>
  <c r="G26" i="11"/>
  <c r="S72" i="11"/>
  <c r="F41" i="16"/>
  <c r="E53" i="1"/>
  <c r="I55" i="13"/>
  <c r="I28" i="13"/>
  <c r="G27" i="11"/>
  <c r="G53" i="11"/>
  <c r="J53" i="11"/>
  <c r="E28" i="14"/>
  <c r="E55" i="14"/>
  <c r="D53" i="1"/>
  <c r="D27" i="1"/>
  <c r="J51" i="16"/>
  <c r="J27" i="15"/>
  <c r="D28" i="12"/>
  <c r="D55" i="12"/>
  <c r="L23" i="1"/>
  <c r="C38" i="16"/>
  <c r="L38" i="16"/>
  <c r="L22" i="1"/>
  <c r="I28" i="15"/>
  <c r="I55" i="15"/>
  <c r="I26" i="11"/>
  <c r="L23" i="11"/>
  <c r="B41" i="16"/>
  <c r="L41" i="16"/>
  <c r="L22" i="11"/>
  <c r="I27" i="14"/>
  <c r="K43" i="16"/>
  <c r="K27" i="12"/>
  <c r="F53" i="11"/>
  <c r="F27" i="11"/>
  <c r="G28" i="15"/>
  <c r="G55" i="15"/>
  <c r="H55" i="12"/>
  <c r="H28" i="12"/>
  <c r="L44" i="16"/>
  <c r="G55" i="16"/>
  <c r="B54" i="16"/>
  <c r="D27" i="15"/>
  <c r="D51" i="16"/>
  <c r="E21" i="15"/>
  <c r="L21" i="15"/>
  <c r="F52" i="16"/>
  <c r="F27" i="15"/>
  <c r="B56" i="16"/>
  <c r="L25" i="11"/>
  <c r="B40" i="16"/>
  <c r="L40" i="16"/>
  <c r="L21" i="11"/>
  <c r="G28" i="12"/>
  <c r="G55" i="12"/>
  <c r="C45" i="16"/>
  <c r="C27" i="13"/>
  <c r="B53" i="1"/>
  <c r="B27" i="1"/>
  <c r="C28" i="15"/>
  <c r="C55" i="15"/>
  <c r="J45" i="16"/>
  <c r="J27" i="13"/>
  <c r="G56" i="16"/>
  <c r="D52" i="16"/>
  <c r="I26" i="1"/>
  <c r="E55" i="16"/>
  <c r="F28" i="13"/>
  <c r="H26" i="1"/>
  <c r="H36" i="16"/>
  <c r="J56" i="16"/>
  <c r="J26" i="1"/>
  <c r="E39" i="16"/>
  <c r="E26" i="11"/>
  <c r="F48" i="16"/>
  <c r="F27" i="14"/>
  <c r="C22" i="14"/>
  <c r="C21" i="14"/>
  <c r="C23" i="14"/>
  <c r="C37" i="16"/>
  <c r="L37" i="16"/>
  <c r="L21" i="1"/>
  <c r="B43" i="16"/>
  <c r="L22" i="12"/>
  <c r="F43" i="16"/>
  <c r="F27" i="12"/>
  <c r="B39" i="16"/>
  <c r="B26" i="11"/>
  <c r="L20" i="11"/>
  <c r="H55" i="14"/>
  <c r="H28" i="14"/>
  <c r="J28" i="12"/>
  <c r="J55" i="12"/>
  <c r="J55" i="14"/>
  <c r="J28" i="14"/>
  <c r="L25" i="14"/>
  <c r="E22" i="15"/>
  <c r="E52" i="16"/>
  <c r="E23" i="15"/>
  <c r="E53" i="16"/>
  <c r="K26" i="11"/>
  <c r="K39" i="16"/>
  <c r="L26" i="15"/>
  <c r="F55" i="16"/>
  <c r="F26" i="1"/>
  <c r="D53" i="16"/>
  <c r="L23" i="15"/>
  <c r="D55" i="16"/>
  <c r="L24" i="1"/>
  <c r="C36" i="16"/>
  <c r="C26" i="1"/>
  <c r="L20" i="1"/>
  <c r="B55" i="15"/>
  <c r="B28" i="15"/>
  <c r="H23" i="13"/>
  <c r="H47" i="16"/>
  <c r="H22" i="13"/>
  <c r="H46" i="16"/>
  <c r="H21" i="13"/>
  <c r="B23" i="13"/>
  <c r="B21" i="13"/>
  <c r="B22" i="13"/>
  <c r="B55" i="14"/>
  <c r="B28" i="14"/>
  <c r="C55" i="12"/>
  <c r="C28" i="12"/>
  <c r="I55" i="16"/>
  <c r="E27" i="13"/>
  <c r="K26" i="1"/>
  <c r="K36" i="16"/>
  <c r="G26" i="1"/>
  <c r="G36" i="16"/>
  <c r="E42" i="16"/>
  <c r="E27" i="12"/>
  <c r="K56" i="16"/>
  <c r="L25" i="12"/>
  <c r="L26" i="13"/>
  <c r="D22" i="13"/>
  <c r="D46" i="16"/>
  <c r="D21" i="13"/>
  <c r="D23" i="13"/>
  <c r="D47" i="16"/>
  <c r="G27" i="13"/>
  <c r="E56" i="16"/>
  <c r="L25" i="1"/>
  <c r="L24" i="11"/>
  <c r="B42" i="16"/>
  <c r="L42" i="16"/>
  <c r="B27" i="12"/>
  <c r="C26" i="11"/>
  <c r="C39" i="16"/>
  <c r="G55" i="14"/>
  <c r="G28" i="14"/>
  <c r="H39" i="16"/>
  <c r="H26" i="11"/>
  <c r="B55" i="16"/>
  <c r="L26" i="14"/>
  <c r="C54" i="16"/>
  <c r="K22" i="14"/>
  <c r="K49" i="16"/>
  <c r="K21" i="14"/>
  <c r="K23" i="14"/>
  <c r="K50" i="16"/>
  <c r="L23" i="12"/>
  <c r="I54" i="16"/>
  <c r="L25" i="15"/>
  <c r="F56" i="16"/>
  <c r="L21" i="12"/>
  <c r="L27" i="12"/>
  <c r="L55" i="12"/>
  <c r="D39" i="16"/>
  <c r="D26" i="11"/>
  <c r="L52" i="16"/>
  <c r="L43" i="16"/>
  <c r="H55" i="15"/>
  <c r="K45" i="16"/>
  <c r="K27" i="13"/>
  <c r="I27" i="12"/>
  <c r="B56" i="14"/>
  <c r="F27" i="1"/>
  <c r="F53" i="1"/>
  <c r="B53" i="11"/>
  <c r="B27" i="11"/>
  <c r="C50" i="16"/>
  <c r="L50" i="16"/>
  <c r="L23" i="14"/>
  <c r="C56" i="15"/>
  <c r="C64" i="15"/>
  <c r="G56" i="12"/>
  <c r="G64" i="12"/>
  <c r="J54" i="11"/>
  <c r="J62" i="11"/>
  <c r="G56" i="14"/>
  <c r="G64" i="14"/>
  <c r="B55" i="12"/>
  <c r="B28" i="12"/>
  <c r="E55" i="12"/>
  <c r="E28" i="12"/>
  <c r="B46" i="16"/>
  <c r="L46" i="16"/>
  <c r="L22" i="13"/>
  <c r="L26" i="1"/>
  <c r="L53" i="1"/>
  <c r="L39" i="16"/>
  <c r="C27" i="14"/>
  <c r="C48" i="16"/>
  <c r="L21" i="14"/>
  <c r="E27" i="11"/>
  <c r="E53" i="11"/>
  <c r="L56" i="16"/>
  <c r="D54" i="1"/>
  <c r="I56" i="13"/>
  <c r="I64" i="13"/>
  <c r="D45" i="16"/>
  <c r="D57" i="16"/>
  <c r="D27" i="13"/>
  <c r="H27" i="13"/>
  <c r="H45" i="16"/>
  <c r="H57" i="16"/>
  <c r="K53" i="11"/>
  <c r="K27" i="11"/>
  <c r="G56" i="15"/>
  <c r="G64" i="15"/>
  <c r="I57" i="16"/>
  <c r="K53" i="1"/>
  <c r="K27" i="1"/>
  <c r="B27" i="13"/>
  <c r="L21" i="13"/>
  <c r="B45" i="16"/>
  <c r="C53" i="1"/>
  <c r="C27" i="1"/>
  <c r="E51" i="16"/>
  <c r="L51" i="16"/>
  <c r="E27" i="15"/>
  <c r="J56" i="14"/>
  <c r="J64" i="14"/>
  <c r="H56" i="14"/>
  <c r="H64" i="14"/>
  <c r="F28" i="12"/>
  <c r="F55" i="12"/>
  <c r="C49" i="16"/>
  <c r="L49" i="16"/>
  <c r="L22" i="14"/>
  <c r="E57" i="16"/>
  <c r="H53" i="1"/>
  <c r="H27" i="1"/>
  <c r="I53" i="1"/>
  <c r="I27" i="1"/>
  <c r="J55" i="13"/>
  <c r="J28" i="13"/>
  <c r="C28" i="13"/>
  <c r="C55" i="13"/>
  <c r="F55" i="15"/>
  <c r="F28" i="15"/>
  <c r="D28" i="15"/>
  <c r="D55" i="15"/>
  <c r="I28" i="14"/>
  <c r="I55" i="14"/>
  <c r="I53" i="11"/>
  <c r="I27" i="11"/>
  <c r="J28" i="15"/>
  <c r="J55" i="15"/>
  <c r="H56" i="15"/>
  <c r="H64" i="15"/>
  <c r="E56" i="14"/>
  <c r="E64" i="14"/>
  <c r="G54" i="11"/>
  <c r="G62" i="11"/>
  <c r="E54" i="1"/>
  <c r="G53" i="1"/>
  <c r="G27" i="1"/>
  <c r="B56" i="15"/>
  <c r="F56" i="13"/>
  <c r="F64" i="13"/>
  <c r="K28" i="12"/>
  <c r="K55" i="12"/>
  <c r="D56" i="12"/>
  <c r="D64" i="12"/>
  <c r="H53" i="11"/>
  <c r="H27" i="11"/>
  <c r="G28" i="13"/>
  <c r="G55" i="13"/>
  <c r="C56" i="12"/>
  <c r="C64" i="12"/>
  <c r="K48" i="16"/>
  <c r="K57" i="16"/>
  <c r="K27" i="14"/>
  <c r="L55" i="16"/>
  <c r="C53" i="11"/>
  <c r="C27" i="11"/>
  <c r="G57" i="16"/>
  <c r="E28" i="13"/>
  <c r="E55" i="13"/>
  <c r="B47" i="16"/>
  <c r="L47" i="16"/>
  <c r="L23" i="13"/>
  <c r="C57" i="16"/>
  <c r="L36" i="16"/>
  <c r="L53" i="16"/>
  <c r="J56" i="12"/>
  <c r="J64" i="12"/>
  <c r="L26" i="11"/>
  <c r="L53" i="11"/>
  <c r="F57" i="16"/>
  <c r="F55" i="14"/>
  <c r="F28" i="14"/>
  <c r="J53" i="1"/>
  <c r="J27" i="1"/>
  <c r="L22" i="15"/>
  <c r="L27" i="15"/>
  <c r="L55" i="15"/>
  <c r="J57" i="16"/>
  <c r="B54" i="1"/>
  <c r="L54" i="16"/>
  <c r="H56" i="12"/>
  <c r="H64" i="12"/>
  <c r="F54" i="11"/>
  <c r="F62" i="11"/>
  <c r="I56" i="15"/>
  <c r="I64" i="15"/>
  <c r="K55" i="13"/>
  <c r="K56" i="13"/>
  <c r="K64" i="13"/>
  <c r="K28" i="13"/>
  <c r="L27" i="1"/>
  <c r="D53" i="11"/>
  <c r="D54" i="11"/>
  <c r="D62" i="11"/>
  <c r="D27" i="11"/>
  <c r="I55" i="12"/>
  <c r="I56" i="12"/>
  <c r="I64" i="12"/>
  <c r="I28" i="12"/>
  <c r="H58" i="16"/>
  <c r="H84" i="16"/>
  <c r="K58" i="16"/>
  <c r="K84" i="16"/>
  <c r="J84" i="16"/>
  <c r="J58" i="16"/>
  <c r="G54" i="1"/>
  <c r="I54" i="11"/>
  <c r="I62" i="11"/>
  <c r="E84" i="16"/>
  <c r="E58" i="16"/>
  <c r="C54" i="1"/>
  <c r="H28" i="13"/>
  <c r="H55" i="13"/>
  <c r="E54" i="11"/>
  <c r="E62" i="11"/>
  <c r="C28" i="14"/>
  <c r="C55" i="14"/>
  <c r="E56" i="12"/>
  <c r="E64" i="12"/>
  <c r="F54" i="1"/>
  <c r="F56" i="14"/>
  <c r="F64" i="14"/>
  <c r="E56" i="13"/>
  <c r="E64" i="13"/>
  <c r="C54" i="11"/>
  <c r="C62" i="11"/>
  <c r="K56" i="12"/>
  <c r="K64" i="12"/>
  <c r="J56" i="15"/>
  <c r="J64" i="15"/>
  <c r="I56" i="14"/>
  <c r="I64" i="14"/>
  <c r="I54" i="1"/>
  <c r="E28" i="15"/>
  <c r="L28" i="15"/>
  <c r="E55" i="15"/>
  <c r="L45" i="16"/>
  <c r="K54" i="1"/>
  <c r="D28" i="13"/>
  <c r="D55" i="13"/>
  <c r="L28" i="12"/>
  <c r="C84" i="16"/>
  <c r="C58" i="16"/>
  <c r="E62" i="1"/>
  <c r="F56" i="15"/>
  <c r="F64" i="15"/>
  <c r="I58" i="16"/>
  <c r="I84" i="16"/>
  <c r="K54" i="11"/>
  <c r="K62" i="11"/>
  <c r="D58" i="16"/>
  <c r="D84" i="16"/>
  <c r="D62" i="1"/>
  <c r="L27" i="14"/>
  <c r="L55" i="14"/>
  <c r="B57" i="16"/>
  <c r="B56" i="12"/>
  <c r="L27" i="11"/>
  <c r="F58" i="16"/>
  <c r="F84" i="16"/>
  <c r="H54" i="11"/>
  <c r="H62" i="11"/>
  <c r="B64" i="15"/>
  <c r="L27" i="13"/>
  <c r="L55" i="13"/>
  <c r="B62" i="1"/>
  <c r="J54" i="1"/>
  <c r="G84" i="16"/>
  <c r="G58" i="16"/>
  <c r="K28" i="14"/>
  <c r="K55" i="14"/>
  <c r="G56" i="13"/>
  <c r="G64" i="13"/>
  <c r="D56" i="15"/>
  <c r="D64" i="15"/>
  <c r="C56" i="13"/>
  <c r="C64" i="13"/>
  <c r="J56" i="13"/>
  <c r="J64" i="13"/>
  <c r="H54" i="1"/>
  <c r="F56" i="12"/>
  <c r="F64" i="12"/>
  <c r="B55" i="13"/>
  <c r="B28" i="13"/>
  <c r="L48" i="16"/>
  <c r="B54" i="11"/>
  <c r="B64" i="14"/>
  <c r="L57" i="16"/>
  <c r="L28" i="14"/>
  <c r="L84" i="16"/>
  <c r="L58" i="16"/>
  <c r="G87" i="16"/>
  <c r="G90" i="16"/>
  <c r="G62" i="1"/>
  <c r="G100" i="16"/>
  <c r="B62" i="11"/>
  <c r="L62" i="11"/>
  <c r="L54" i="11"/>
  <c r="K56" i="14"/>
  <c r="K64" i="14"/>
  <c r="L54" i="1"/>
  <c r="B84" i="16"/>
  <c r="B58" i="16"/>
  <c r="I87" i="16"/>
  <c r="I90" i="16"/>
  <c r="K62" i="1"/>
  <c r="B64" i="12"/>
  <c r="L64" i="12"/>
  <c r="L56" i="12"/>
  <c r="D56" i="13"/>
  <c r="C62" i="1"/>
  <c r="B56" i="13"/>
  <c r="H62" i="1"/>
  <c r="I62" i="1"/>
  <c r="I100" i="16"/>
  <c r="L28" i="13"/>
  <c r="J87" i="16"/>
  <c r="J90" i="16"/>
  <c r="J62" i="1"/>
  <c r="J100" i="16"/>
  <c r="E56" i="15"/>
  <c r="F87" i="16"/>
  <c r="F90" i="16"/>
  <c r="F62" i="1"/>
  <c r="F100" i="16"/>
  <c r="C56" i="14"/>
  <c r="C87" i="16"/>
  <c r="C90" i="16"/>
  <c r="H56" i="13"/>
  <c r="H64" i="13"/>
  <c r="H87" i="16"/>
  <c r="H90" i="16"/>
  <c r="K100" i="16"/>
  <c r="E64" i="15"/>
  <c r="L56" i="15"/>
  <c r="H100" i="16"/>
  <c r="L62" i="1"/>
  <c r="K87" i="16"/>
  <c r="K90" i="16"/>
  <c r="L56" i="13"/>
  <c r="B64" i="13"/>
  <c r="B100" i="16"/>
  <c r="B87" i="16"/>
  <c r="B90" i="16"/>
  <c r="C64" i="14"/>
  <c r="L64" i="14"/>
  <c r="L56" i="14"/>
  <c r="D64" i="13"/>
  <c r="D100" i="16"/>
  <c r="D87" i="16"/>
  <c r="D90" i="16"/>
  <c r="E87" i="16"/>
  <c r="E90" i="16"/>
  <c r="L90" i="16"/>
  <c r="L87" i="16"/>
  <c r="E100" i="16"/>
  <c r="L64" i="15"/>
  <c r="L64" i="13"/>
  <c r="C100" i="16"/>
  <c r="L100" i="16"/>
  <c r="J55" i="1"/>
  <c r="J56" i="1"/>
  <c r="F55" i="1"/>
  <c r="F56" i="1"/>
  <c r="J57" i="12"/>
  <c r="J58" i="12"/>
  <c r="B57" i="14"/>
  <c r="K57" i="12"/>
  <c r="K58" i="12"/>
  <c r="G57" i="12"/>
  <c r="G58" i="12"/>
  <c r="K57" i="13"/>
  <c r="K58" i="13"/>
  <c r="I57" i="14"/>
  <c r="I58" i="14"/>
  <c r="C55" i="11"/>
  <c r="C56" i="11"/>
  <c r="H57" i="13"/>
  <c r="H58" i="13"/>
  <c r="I89" i="16"/>
  <c r="I91" i="16"/>
  <c r="H57" i="15"/>
  <c r="H58" i="15"/>
  <c r="D55" i="11"/>
  <c r="D56" i="11"/>
  <c r="K55" i="11"/>
  <c r="K56" i="11"/>
  <c r="K57" i="15"/>
  <c r="K58" i="15"/>
  <c r="C57" i="14"/>
  <c r="C58" i="14"/>
  <c r="C57" i="15"/>
  <c r="C58" i="15"/>
  <c r="D89" i="16"/>
  <c r="D91" i="16"/>
  <c r="E57" i="15"/>
  <c r="E58" i="15"/>
  <c r="H57" i="12"/>
  <c r="H58" i="12"/>
  <c r="D55" i="1"/>
  <c r="D56" i="1"/>
  <c r="K55" i="1"/>
  <c r="K56" i="1"/>
  <c r="H57" i="14"/>
  <c r="H58" i="14"/>
  <c r="G55" i="11"/>
  <c r="G56" i="11"/>
  <c r="D57" i="14"/>
  <c r="D58" i="14"/>
  <c r="B57" i="13"/>
  <c r="F57" i="14"/>
  <c r="F58" i="14"/>
  <c r="B57" i="12"/>
  <c r="C57" i="12"/>
  <c r="C58" i="12"/>
  <c r="J55" i="11"/>
  <c r="J56" i="11"/>
  <c r="E57" i="12"/>
  <c r="E58" i="12"/>
  <c r="H89" i="16"/>
  <c r="H91" i="16"/>
  <c r="B57" i="15"/>
  <c r="G57" i="14"/>
  <c r="G58" i="14"/>
  <c r="C89" i="16"/>
  <c r="C91" i="16"/>
  <c r="D57" i="15"/>
  <c r="D58" i="15"/>
  <c r="E55" i="11"/>
  <c r="E56" i="11"/>
  <c r="G89" i="16"/>
  <c r="G91" i="16"/>
  <c r="K89" i="16"/>
  <c r="K91" i="16"/>
  <c r="F57" i="13"/>
  <c r="F58" i="13"/>
  <c r="K57" i="14"/>
  <c r="K58" i="14"/>
  <c r="I57" i="13"/>
  <c r="I58" i="13"/>
  <c r="J57" i="13"/>
  <c r="J58" i="13"/>
  <c r="F57" i="12"/>
  <c r="F58" i="12"/>
  <c r="C55" i="1"/>
  <c r="C56" i="1"/>
  <c r="G57" i="15"/>
  <c r="G58" i="15"/>
  <c r="I55" i="11"/>
  <c r="I56" i="11"/>
  <c r="D57" i="12"/>
  <c r="D58" i="12"/>
  <c r="J89" i="16"/>
  <c r="J91" i="16"/>
  <c r="E89" i="16"/>
  <c r="E91" i="16"/>
  <c r="G55" i="1"/>
  <c r="G56" i="1"/>
  <c r="B55" i="11"/>
  <c r="D57" i="13"/>
  <c r="D58" i="13"/>
  <c r="E55" i="1"/>
  <c r="E56" i="1"/>
  <c r="F89" i="16"/>
  <c r="F91" i="16"/>
  <c r="F57" i="15"/>
  <c r="F58" i="15"/>
  <c r="J57" i="14"/>
  <c r="J58" i="14"/>
  <c r="G57" i="13"/>
  <c r="G58" i="13"/>
  <c r="C57" i="13"/>
  <c r="C58" i="13"/>
  <c r="J57" i="15"/>
  <c r="J58" i="15"/>
  <c r="I57" i="15"/>
  <c r="I58" i="15"/>
  <c r="E57" i="14"/>
  <c r="E58" i="14"/>
  <c r="B89" i="16"/>
  <c r="H55" i="1"/>
  <c r="H56" i="1"/>
  <c r="H55" i="11"/>
  <c r="H56" i="11"/>
  <c r="I55" i="1"/>
  <c r="I56" i="1"/>
  <c r="B55" i="1"/>
  <c r="I57" i="12"/>
  <c r="I58" i="12"/>
  <c r="E57" i="13"/>
  <c r="E58" i="13"/>
  <c r="F55" i="11"/>
  <c r="F56" i="11"/>
  <c r="L57" i="12"/>
  <c r="B58" i="12"/>
  <c r="L58" i="12"/>
  <c r="O126" i="16"/>
  <c r="L57" i="14"/>
  <c r="B58" i="14"/>
  <c r="L58" i="14"/>
  <c r="O128" i="16"/>
  <c r="L55" i="1"/>
  <c r="B56" i="1"/>
  <c r="L56" i="1"/>
  <c r="O124" i="16"/>
  <c r="L89" i="16"/>
  <c r="B91" i="16"/>
  <c r="L91" i="16"/>
  <c r="L57" i="13"/>
  <c r="B58" i="13"/>
  <c r="L58" i="13"/>
  <c r="O127" i="16"/>
  <c r="L55" i="11"/>
  <c r="B56" i="11"/>
  <c r="L56" i="11"/>
  <c r="O125" i="16"/>
  <c r="L57" i="15"/>
  <c r="B58" i="15"/>
  <c r="L58" i="15"/>
  <c r="O129" i="16"/>
  <c r="M91" i="16"/>
  <c r="O13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Leigh Robinson</author>
    <author>Heidi Copeland</author>
  </authors>
  <commentList>
    <comment ref="B5" authorId="0" shapeId="0" xr:uid="{00000000-0006-0000-0000-000001000000}">
      <text>
        <r>
          <rPr>
            <b/>
            <sz val="9"/>
            <color indexed="10"/>
            <rFont val="Tahoma"/>
            <family val="2"/>
          </rPr>
          <t>**</t>
        </r>
        <r>
          <rPr>
            <sz val="9"/>
            <color indexed="10"/>
            <rFont val="Tahoma"/>
            <family val="2"/>
          </rPr>
          <t xml:space="preserve">Adjust the date </t>
        </r>
        <r>
          <rPr>
            <b/>
            <i/>
            <u/>
            <sz val="9"/>
            <color indexed="10"/>
            <rFont val="Tahoma"/>
            <family val="2"/>
          </rPr>
          <t>before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data entry below!!!</t>
        </r>
      </text>
    </comment>
    <comment ref="A1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to change this, rename tab at bottom of page
</t>
        </r>
      </text>
    </comment>
    <comment ref="B14" authorId="0" shapeId="0" xr:uid="{00000000-0006-0000-0000-000003000000}">
      <text>
        <r>
          <rPr>
            <sz val="9"/>
            <color indexed="81"/>
            <rFont val="Tahoma"/>
            <family val="2"/>
          </rPr>
          <t>Enter PI/Co-PI names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00000000-0006-0000-0000-000004000000}">
      <text>
        <r>
          <rPr>
            <sz val="9"/>
            <color indexed="81"/>
            <rFont val="Tahoma"/>
            <family val="2"/>
          </rPr>
          <t>Enter PI current salary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00000000-0006-0000-0000-000005000000}">
      <text>
        <r>
          <rPr>
            <sz val="9"/>
            <color indexed="81"/>
            <rFont val="Tahoma"/>
            <family val="2"/>
          </rPr>
          <t>Enter # of months in green boxes only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67" authorId="1" shapeId="0" xr:uid="{00000000-0006-0000-0000-000006000000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148" authorId="1" shapeId="0" xr:uid="{BC9F09BC-9B56-4910-B40B-C38EC4A1B4C0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229" authorId="1" shapeId="0" xr:uid="{421E9F2A-4DCD-4C91-A83D-B650A9460B11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310" authorId="1" shapeId="0" xr:uid="{1C6BC8F9-6987-4EFC-B462-9E4D62F6B455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391" authorId="1" shapeId="0" xr:uid="{957B4238-07AA-4A8B-97D1-81339BF9F944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  <comment ref="B472" authorId="1" shapeId="0" xr:uid="{9D5861D6-9472-4EB2-8A5D-5B763D6DC1D7}">
      <text>
        <r>
          <rPr>
            <sz val="9"/>
            <color indexed="81"/>
            <rFont val="Tahoma"/>
            <family val="2"/>
          </rPr>
          <t>NIH FY2021 Postdoc Minimum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NOTE: Postdocs can have salaries higher than the NIH minimum, but not lower.</t>
        </r>
      </text>
    </comment>
  </commentList>
</comments>
</file>

<file path=xl/sharedStrings.xml><?xml version="1.0" encoding="utf-8"?>
<sst xmlns="http://schemas.openxmlformats.org/spreadsheetml/2006/main" count="1810" uniqueCount="215">
  <si>
    <t>Cornell University</t>
  </si>
  <si>
    <t>Year 1</t>
  </si>
  <si>
    <t>Year 2</t>
  </si>
  <si>
    <t>Year 3</t>
  </si>
  <si>
    <t>Budget Categories:</t>
  </si>
  <si>
    <t>Total</t>
  </si>
  <si>
    <t xml:space="preserve"> </t>
  </si>
  <si>
    <t>Fringe Benefits</t>
  </si>
  <si>
    <t>Tuition</t>
  </si>
  <si>
    <t>Student Health Insurance</t>
  </si>
  <si>
    <t>Domestic</t>
  </si>
  <si>
    <t>Foreign</t>
  </si>
  <si>
    <t>Total Travel</t>
  </si>
  <si>
    <t>Other Direct Costs</t>
  </si>
  <si>
    <t>Materials &amp; Supplies</t>
  </si>
  <si>
    <t>Consultant Services</t>
  </si>
  <si>
    <t>Total Direct Costs</t>
  </si>
  <si>
    <t>Modified Direct Costs</t>
  </si>
  <si>
    <t>Total Indirect Costs</t>
  </si>
  <si>
    <t>TOTALS</t>
  </si>
  <si>
    <t>Term</t>
  </si>
  <si>
    <t>Salary Commitment</t>
  </si>
  <si>
    <t>Stipend</t>
  </si>
  <si>
    <t>Summer</t>
  </si>
  <si>
    <t>Health Ins</t>
  </si>
  <si>
    <t>Equipment</t>
  </si>
  <si>
    <t>Total Equipment</t>
  </si>
  <si>
    <t>Participant Support Costs</t>
  </si>
  <si>
    <t>Total Participant Support Costs</t>
  </si>
  <si>
    <t>Other</t>
  </si>
  <si>
    <t>12 Month Stipend</t>
  </si>
  <si>
    <t>Total Support Costs</t>
  </si>
  <si>
    <t>Number of students</t>
  </si>
  <si>
    <t>FY: July 1 - June 30</t>
  </si>
  <si>
    <t>Travel</t>
  </si>
  <si>
    <t>9 Month Stipend</t>
  </si>
  <si>
    <t>Months</t>
  </si>
  <si>
    <t>Subcontract under $25,000</t>
  </si>
  <si>
    <t>Subcontract over $25,000</t>
  </si>
  <si>
    <t>Year 4</t>
  </si>
  <si>
    <t>Subcontract MTDC exclusion</t>
  </si>
  <si>
    <t xml:space="preserve">SubContracts </t>
  </si>
  <si>
    <t>Stipends</t>
  </si>
  <si>
    <t>Subsistence</t>
  </si>
  <si>
    <t>Months devoted to project</t>
  </si>
  <si>
    <t>Year 5</t>
  </si>
  <si>
    <t># of month to FY end</t>
  </si>
  <si>
    <t># of remaining months to proj yr end</t>
  </si>
  <si>
    <t>Title:</t>
  </si>
  <si>
    <t>Project Information</t>
  </si>
  <si>
    <t>PI Name:</t>
  </si>
  <si>
    <t>Start Date:</t>
  </si>
  <si>
    <t>%</t>
  </si>
  <si>
    <t>Co-PI Name:</t>
  </si>
  <si>
    <t>Rates:</t>
  </si>
  <si>
    <t>Salary Calculations:</t>
  </si>
  <si>
    <t>FTE for 12 Months</t>
  </si>
  <si>
    <t>Co-PI</t>
  </si>
  <si>
    <t>Summer - Weekly hours devoted to project</t>
  </si>
  <si>
    <t>Summer - Number of Weeks</t>
  </si>
  <si>
    <t>Academic Year - Weekly hrs devoted to prj.</t>
  </si>
  <si>
    <t>Academic Year - Number of Weeks</t>
  </si>
  <si>
    <t>Capital Equipment</t>
  </si>
  <si>
    <t>Registration</t>
  </si>
  <si>
    <t>Annual Inc.</t>
  </si>
  <si>
    <t>PI</t>
  </si>
  <si>
    <t>Total Academic</t>
  </si>
  <si>
    <t>Total Summer</t>
  </si>
  <si>
    <t>Fiscal Year =</t>
  </si>
  <si>
    <t>Rate per Hour</t>
  </si>
  <si>
    <t>Graduate Student(s)</t>
  </si>
  <si>
    <t>Graduate Student Support</t>
  </si>
  <si>
    <t>Post Doctoral Associate(s)</t>
  </si>
  <si>
    <t>Undergraduate Student(s)</t>
  </si>
  <si>
    <t>Other Professional(s) (Technicians, etc)</t>
  </si>
  <si>
    <t>Tuition/Fees/Health Insurance</t>
  </si>
  <si>
    <t>Publication Costs</t>
  </si>
  <si>
    <t>ADP/Computer Services</t>
  </si>
  <si>
    <t>Equipment or Facility Rental/User Fees</t>
  </si>
  <si>
    <t>Total Fringe Benefits</t>
  </si>
  <si>
    <t>Total Other Direct Costs</t>
  </si>
  <si>
    <t>IDC Rate - Endowed:</t>
  </si>
  <si>
    <t>IDC Rate - Off Campus:</t>
  </si>
  <si>
    <t>*** This number must equal 12</t>
  </si>
  <si>
    <t>annual start date</t>
  </si>
  <si>
    <t>annual end date</t>
  </si>
  <si>
    <t>calendar years</t>
  </si>
  <si>
    <t>Calendar Year(s)</t>
  </si>
  <si>
    <t>Use $15 per hour for Temps</t>
  </si>
  <si>
    <t>Starting Month =</t>
  </si>
  <si>
    <t>Federal</t>
  </si>
  <si>
    <t>Yes</t>
  </si>
  <si>
    <t>Contract College</t>
  </si>
  <si>
    <t>Non-federal</t>
  </si>
  <si>
    <t>No</t>
  </si>
  <si>
    <t>Endowed College</t>
  </si>
  <si>
    <t>Select Funding Type:</t>
  </si>
  <si>
    <t>Post Doc Fringe Benefit Rate:</t>
  </si>
  <si>
    <t>Other Fringe Benefit Rate</t>
  </si>
  <si>
    <t>Is Full IDC allowed?</t>
  </si>
  <si>
    <t>Fringe Benefit Rates:</t>
  </si>
  <si>
    <t>Annual increase</t>
  </si>
  <si>
    <t>Post Doctoral Scholar(s)</t>
  </si>
  <si>
    <t>Fringe Benefits: 9 month appt.</t>
  </si>
  <si>
    <t>Fringe Benefits: 12 month appt.</t>
  </si>
  <si>
    <t>Graduate Student Support Summary</t>
  </si>
  <si>
    <t>Graduate Student Support Detail</t>
  </si>
  <si>
    <t>Pro-rating factor for 12 month appts.:</t>
  </si>
  <si>
    <t>Total Salary and Fringe Benefits</t>
  </si>
  <si>
    <t>Total Indirect Costs - Cornell rate</t>
  </si>
  <si>
    <t>Total Indirect Costs - Sponsor rate</t>
  </si>
  <si>
    <t>Senior Personnel Salary</t>
  </si>
  <si>
    <t>Other Personnel Salary</t>
  </si>
  <si>
    <t>Is Department Contract or Endowed?</t>
  </si>
  <si>
    <t>Tuition - Contract College</t>
  </si>
  <si>
    <t>Tuition - Endowed College</t>
  </si>
  <si>
    <t>Senior Personnel</t>
  </si>
  <si>
    <t>Other Personnel</t>
  </si>
  <si>
    <t>Total Personnel</t>
  </si>
  <si>
    <t>Pro-rating for non-senior personnel:</t>
  </si>
  <si>
    <t>Total Indirect Costs - Cornell rates</t>
  </si>
  <si>
    <t xml:space="preserve">Fringe Benefit Rate - Contract (Federal): </t>
  </si>
  <si>
    <t xml:space="preserve">Fringe Benefit Rate - Contract (Non-federal): </t>
  </si>
  <si>
    <t>Fringe Benefit Rate - Endowed</t>
  </si>
  <si>
    <t>IDC Rate - Contract:</t>
  </si>
  <si>
    <t>IDC Rate - Allowed by Sponsor:</t>
  </si>
  <si>
    <t xml:space="preserve"> Total</t>
  </si>
  <si>
    <t>TDC</t>
  </si>
  <si>
    <t>TFF</t>
  </si>
  <si>
    <t>Research</t>
  </si>
  <si>
    <t>IDC Rate - Campus-Wide Other Sponsor Activity</t>
  </si>
  <si>
    <t>Off</t>
  </si>
  <si>
    <t>On</t>
  </si>
  <si>
    <t>Select Function Type:</t>
  </si>
  <si>
    <t>Is work performed "on" or "off" Campus?</t>
  </si>
  <si>
    <t>Select or Enter Sponsor:</t>
  </si>
  <si>
    <t>USDA</t>
  </si>
  <si>
    <t>NSF</t>
  </si>
  <si>
    <t>NIH</t>
  </si>
  <si>
    <r>
      <t xml:space="preserve">Contract Modified Direct Costs </t>
    </r>
    <r>
      <rPr>
        <b/>
        <sz val="6"/>
        <color theme="0" tint="-0.34998626667073579"/>
        <rFont val="Arial"/>
        <family val="2"/>
      </rPr>
      <t>(On Campus)</t>
    </r>
  </si>
  <si>
    <r>
      <t xml:space="preserve">Contract Modified Direct Costs </t>
    </r>
    <r>
      <rPr>
        <b/>
        <sz val="6"/>
        <color theme="0" tint="-0.499984740745262"/>
        <rFont val="Arial"/>
        <family val="2"/>
      </rPr>
      <t>(Off Campus)</t>
    </r>
  </si>
  <si>
    <r>
      <t xml:space="preserve">Endowed Modified Direct Costs </t>
    </r>
    <r>
      <rPr>
        <b/>
        <sz val="6"/>
        <color theme="0" tint="-0.499984740745262"/>
        <rFont val="Arial"/>
        <family val="2"/>
      </rPr>
      <t>(Off Campus)</t>
    </r>
  </si>
  <si>
    <r>
      <t>Endowed Modified Direct Costs</t>
    </r>
    <r>
      <rPr>
        <b/>
        <sz val="6"/>
        <rFont val="Arial"/>
        <family val="2"/>
      </rPr>
      <t xml:space="preserve"> </t>
    </r>
    <r>
      <rPr>
        <b/>
        <sz val="6"/>
        <color theme="0" tint="-0.249977111117893"/>
        <rFont val="Arial"/>
        <family val="2"/>
      </rPr>
      <t>(On Campus)</t>
    </r>
  </si>
  <si>
    <t>Revise with information for this proposal, copy and paste as picture into budget justification.</t>
  </si>
  <si>
    <t>Ithaca, NY</t>
  </si>
  <si>
    <t>Academic Stipend</t>
  </si>
  <si>
    <t>Summer Stipend</t>
  </si>
  <si>
    <t>GRA Health Insurance Fees</t>
  </si>
  <si>
    <t>GRA Tuition Fees</t>
  </si>
  <si>
    <t>Graduate Student (Stipend, Tuition, Health Ins) - Endowed College Rates:</t>
  </si>
  <si>
    <t>GRA Health Insurance Fee</t>
  </si>
  <si>
    <t>GRA AY Tuition</t>
  </si>
  <si>
    <t>Period 4</t>
  </si>
  <si>
    <t>Period 3</t>
  </si>
  <si>
    <t>Period 2</t>
  </si>
  <si>
    <t>Period 1</t>
  </si>
  <si>
    <t>GRA Other Direct Costs</t>
  </si>
  <si>
    <t>Total GRA Stipend</t>
  </si>
  <si>
    <t>GRA Summer Stipend</t>
  </si>
  <si>
    <t>GRA AY Stipend</t>
  </si>
  <si>
    <t>GRA Stipend Support</t>
  </si>
  <si>
    <t>TOTAL (per year)</t>
  </si>
  <si>
    <t>Add additional periods if needed.</t>
  </si>
  <si>
    <t>Quantity</t>
  </si>
  <si>
    <t>Unit Price</t>
  </si>
  <si>
    <t>Item</t>
  </si>
  <si>
    <t>MTDC Exclusions</t>
  </si>
  <si>
    <t>Rate Agreement</t>
  </si>
  <si>
    <t>Notes</t>
  </si>
  <si>
    <t>Period 5</t>
  </si>
  <si>
    <t>Total GRA ODCs</t>
  </si>
  <si>
    <t>Travel Origin</t>
  </si>
  <si>
    <t>Airfare/ Mileage</t>
  </si>
  <si>
    <t># of Nights</t>
  </si>
  <si>
    <t># of Days</t>
  </si>
  <si>
    <t>Estimated  Trip Cost</t>
  </si>
  <si>
    <t># of Trips</t>
  </si>
  <si>
    <t># of PPL</t>
  </si>
  <si>
    <t>Per Diem (Lodging)</t>
  </si>
  <si>
    <t>Per Diem (M&amp;IE)</t>
  </si>
  <si>
    <t>Total Cost</t>
  </si>
  <si>
    <t>Travel Destination</t>
  </si>
  <si>
    <t>Travel Purpose</t>
  </si>
  <si>
    <t>Publication/Documentation/Dissemination</t>
  </si>
  <si>
    <t>Computer Services</t>
  </si>
  <si>
    <t>Year 6</t>
  </si>
  <si>
    <t>Year 7</t>
  </si>
  <si>
    <t>Year 8</t>
  </si>
  <si>
    <t>Year 9</t>
  </si>
  <si>
    <t>Year 10</t>
  </si>
  <si>
    <t>Year 11</t>
  </si>
  <si>
    <t>Year 12</t>
  </si>
  <si>
    <t>Period 6</t>
  </si>
  <si>
    <t>Period 7</t>
  </si>
  <si>
    <t>Period 8</t>
  </si>
  <si>
    <t>Period 9</t>
  </si>
  <si>
    <t>Period 10</t>
  </si>
  <si>
    <t>Co-PI #2</t>
  </si>
  <si>
    <t>Co-PI #3</t>
  </si>
  <si>
    <t xml:space="preserve">Other </t>
  </si>
  <si>
    <t>Health Ins notes:</t>
  </si>
  <si>
    <t>Student Health Fee plus Student Health Premium</t>
  </si>
  <si>
    <t>use straight escalation for FY24 forward</t>
  </si>
  <si>
    <t>NIH Salary Cap for 9 month appointment</t>
  </si>
  <si>
    <t>NIH Salary Cap for 12 month appointment</t>
  </si>
  <si>
    <t>NIH Post Doctoral Stipend (Yr 1)</t>
  </si>
  <si>
    <t xml:space="preserve">FLSA exempt minimum wage </t>
  </si>
  <si>
    <t>Minimum Hourly Wage</t>
  </si>
  <si>
    <t>Minimum Undergraduate rate</t>
  </si>
  <si>
    <t>USDA Executive Level IV</t>
  </si>
  <si>
    <t>https://studentemployment.cornell.edu/jobs/wages-and-classifications/student-wage-scale</t>
  </si>
  <si>
    <t>FY2023</t>
  </si>
  <si>
    <t xml:space="preserve">(taken from GRA table above) </t>
  </si>
  <si>
    <t>(https://grants.nih.gov/grants/guide/notice-files/NOT-OD-23-076.html</t>
  </si>
  <si>
    <t>FY23 --434 Student Fee + 3612 SHP [806 per semester])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</si>
</sst>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0.0%"/>
    <numFmt numFmtId="167" formatCode="&quot;$&quot;#,##0"/>
    <numFmt numFmtId="168" formatCode="0.000%"/>
    <numFmt numFmtId="169" formatCode="#,##0.0000"/>
    <numFmt numFmtId="170" formatCode="&quot;$&quot;#,##0.00"/>
    <numFmt numFmtId="171" formatCode=";;"/>
    <numFmt numFmtId="172" formatCode="_(&quot;$&quot;* #,##0_);_(&quot;$&quot;* \(#,##0\);_(&quot;$&quot;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rgb="FF00B0F0"/>
      <name val="Arial"/>
      <family val="2"/>
    </font>
    <font>
      <b/>
      <sz val="8"/>
      <color rgb="FF0070C0"/>
      <name val="Arial"/>
      <family val="2"/>
    </font>
    <font>
      <b/>
      <sz val="8"/>
      <color theme="4" tint="-0.249977111117893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6"/>
      <name val="arial"/>
      <family val="2"/>
    </font>
    <font>
      <sz val="11"/>
      <color rgb="FF00B050"/>
      <name val="Arial"/>
      <family val="2"/>
    </font>
    <font>
      <b/>
      <sz val="11"/>
      <color rgb="FF0070C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8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sz val="6"/>
      <name val="Arial"/>
      <family val="2"/>
    </font>
    <font>
      <b/>
      <sz val="6"/>
      <color theme="0" tint="-0.249977111117893"/>
      <name val="Arial"/>
      <family val="2"/>
    </font>
    <font>
      <b/>
      <sz val="6"/>
      <color theme="0" tint="-0.34998626667073579"/>
      <name val="Arial"/>
      <family val="2"/>
    </font>
    <font>
      <b/>
      <sz val="6"/>
      <color theme="0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8" tint="0.7999816888943144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sz val="9"/>
      <color indexed="10"/>
      <name val="Tahoma"/>
      <family val="2"/>
    </font>
    <font>
      <b/>
      <i/>
      <u/>
      <sz val="9"/>
      <color indexed="10"/>
      <name val="Tahoma"/>
      <family val="2"/>
    </font>
    <font>
      <b/>
      <u/>
      <sz val="10"/>
      <color theme="10"/>
      <name val="Calibri"/>
      <family val="2"/>
      <scheme val="minor"/>
    </font>
    <font>
      <b/>
      <i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0" fillId="0" borderId="0"/>
    <xf numFmtId="43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2">
    <xf numFmtId="0" fontId="0" fillId="0" borderId="0" xfId="0"/>
    <xf numFmtId="0" fontId="4" fillId="0" borderId="0" xfId="3" applyFont="1"/>
    <xf numFmtId="3" fontId="4" fillId="0" borderId="0" xfId="3" applyNumberFormat="1" applyFont="1"/>
    <xf numFmtId="0" fontId="4" fillId="0" borderId="1" xfId="3" applyFont="1" applyBorder="1"/>
    <xf numFmtId="165" fontId="4" fillId="0" borderId="0" xfId="1" applyNumberFormat="1" applyFont="1" applyBorder="1"/>
    <xf numFmtId="165" fontId="4" fillId="0" borderId="0" xfId="3" applyNumberFormat="1" applyFont="1"/>
    <xf numFmtId="165" fontId="4" fillId="2" borderId="9" xfId="1" applyNumberFormat="1" applyFont="1" applyFill="1" applyBorder="1"/>
    <xf numFmtId="0" fontId="5" fillId="0" borderId="0" xfId="3" applyFont="1"/>
    <xf numFmtId="3" fontId="4" fillId="0" borderId="19" xfId="3" applyNumberFormat="1" applyFont="1" applyBorder="1"/>
    <xf numFmtId="0" fontId="4" fillId="0" borderId="0" xfId="3" applyFont="1" applyAlignment="1">
      <alignment horizontal="right"/>
    </xf>
    <xf numFmtId="0" fontId="4" fillId="0" borderId="15" xfId="3" applyFont="1" applyBorder="1"/>
    <xf numFmtId="0" fontId="4" fillId="0" borderId="9" xfId="3" applyFont="1" applyBorder="1"/>
    <xf numFmtId="3" fontId="4" fillId="0" borderId="9" xfId="3" applyNumberFormat="1" applyFont="1" applyBorder="1"/>
    <xf numFmtId="0" fontId="4" fillId="4" borderId="8" xfId="3" applyFont="1" applyFill="1" applyBorder="1"/>
    <xf numFmtId="0" fontId="4" fillId="0" borderId="3" xfId="3" applyFont="1" applyBorder="1"/>
    <xf numFmtId="0" fontId="4" fillId="0" borderId="17" xfId="3" applyFont="1" applyBorder="1"/>
    <xf numFmtId="165" fontId="4" fillId="4" borderId="9" xfId="1" applyNumberFormat="1" applyFont="1" applyFill="1" applyBorder="1"/>
    <xf numFmtId="165" fontId="4" fillId="0" borderId="0" xfId="1" applyNumberFormat="1" applyFont="1"/>
    <xf numFmtId="165" fontId="6" fillId="0" borderId="0" xfId="1" applyNumberFormat="1" applyFont="1" applyBorder="1"/>
    <xf numFmtId="0" fontId="7" fillId="0" borderId="0" xfId="3" applyFont="1" applyAlignment="1">
      <alignment horizontal="right"/>
    </xf>
    <xf numFmtId="0" fontId="10" fillId="0" borderId="4" xfId="3" applyFont="1" applyBorder="1"/>
    <xf numFmtId="0" fontId="10" fillId="0" borderId="0" xfId="3" applyFont="1"/>
    <xf numFmtId="165" fontId="11" fillId="0" borderId="0" xfId="1" applyNumberFormat="1" applyFont="1" applyBorder="1"/>
    <xf numFmtId="0" fontId="12" fillId="0" borderId="0" xfId="0" applyFont="1"/>
    <xf numFmtId="0" fontId="13" fillId="0" borderId="0" xfId="3" applyFont="1" applyAlignment="1">
      <alignment horizontal="right"/>
    </xf>
    <xf numFmtId="0" fontId="13" fillId="0" borderId="0" xfId="3" applyFont="1"/>
    <xf numFmtId="3" fontId="13" fillId="0" borderId="0" xfId="3" applyNumberFormat="1" applyFont="1"/>
    <xf numFmtId="0" fontId="16" fillId="0" borderId="0" xfId="3" applyFont="1" applyAlignment="1">
      <alignment horizontal="right" wrapText="1"/>
    </xf>
    <xf numFmtId="0" fontId="16" fillId="0" borderId="0" xfId="3" applyFont="1" applyAlignment="1">
      <alignment horizontal="right"/>
    </xf>
    <xf numFmtId="165" fontId="16" fillId="0" borderId="0" xfId="3" applyNumberFormat="1" applyFont="1" applyAlignment="1">
      <alignment horizontal="right"/>
    </xf>
    <xf numFmtId="0" fontId="16" fillId="0" borderId="1" xfId="3" applyFont="1" applyBorder="1"/>
    <xf numFmtId="166" fontId="13" fillId="0" borderId="0" xfId="2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3" applyFont="1"/>
    <xf numFmtId="3" fontId="13" fillId="0" borderId="0" xfId="3" applyNumberFormat="1" applyFont="1" applyAlignment="1">
      <alignment horizontal="right"/>
    </xf>
    <xf numFmtId="0" fontId="16" fillId="0" borderId="8" xfId="3" applyFont="1" applyBorder="1"/>
    <xf numFmtId="0" fontId="13" fillId="0" borderId="1" xfId="3" applyFont="1" applyBorder="1"/>
    <xf numFmtId="165" fontId="13" fillId="0" borderId="0" xfId="1" applyNumberFormat="1" applyFont="1"/>
    <xf numFmtId="0" fontId="13" fillId="4" borderId="8" xfId="3" applyFont="1" applyFill="1" applyBorder="1"/>
    <xf numFmtId="165" fontId="13" fillId="4" borderId="9" xfId="1" applyNumberFormat="1" applyFont="1" applyFill="1" applyBorder="1"/>
    <xf numFmtId="0" fontId="17" fillId="0" borderId="0" xfId="3" applyFont="1"/>
    <xf numFmtId="0" fontId="12" fillId="0" borderId="0" xfId="3" applyFont="1" applyAlignment="1">
      <alignment horizontal="right"/>
    </xf>
    <xf numFmtId="0" fontId="15" fillId="0" borderId="0" xfId="0" applyFont="1"/>
    <xf numFmtId="0" fontId="5" fillId="0" borderId="9" xfId="3" applyFont="1" applyBorder="1"/>
    <xf numFmtId="0" fontId="18" fillId="0" borderId="0" xfId="3" applyFont="1"/>
    <xf numFmtId="0" fontId="19" fillId="0" borderId="0" xfId="4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0" xfId="3" applyFont="1" applyAlignment="1">
      <alignment horizontal="right"/>
    </xf>
    <xf numFmtId="0" fontId="4" fillId="5" borderId="0" xfId="3" applyFont="1" applyFill="1"/>
    <xf numFmtId="0" fontId="13" fillId="0" borderId="16" xfId="3" applyFont="1" applyBorder="1" applyAlignment="1">
      <alignment horizontal="right"/>
    </xf>
    <xf numFmtId="0" fontId="13" fillId="0" borderId="17" xfId="3" applyFont="1" applyBorder="1" applyAlignment="1">
      <alignment horizontal="right"/>
    </xf>
    <xf numFmtId="9" fontId="14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1" fontId="14" fillId="6" borderId="0" xfId="2" applyNumberFormat="1" applyFont="1" applyFill="1" applyBorder="1" applyAlignment="1">
      <alignment horizontal="right"/>
    </xf>
    <xf numFmtId="0" fontId="15" fillId="0" borderId="0" xfId="4" applyFont="1" applyAlignment="1">
      <alignment horizontal="right"/>
    </xf>
    <xf numFmtId="14" fontId="4" fillId="0" borderId="0" xfId="3" applyNumberFormat="1" applyFont="1"/>
    <xf numFmtId="0" fontId="12" fillId="0" borderId="0" xfId="0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right"/>
    </xf>
    <xf numFmtId="0" fontId="12" fillId="0" borderId="17" xfId="3" applyFont="1" applyBorder="1"/>
    <xf numFmtId="0" fontId="13" fillId="0" borderId="10" xfId="3" applyFont="1" applyBorder="1"/>
    <xf numFmtId="165" fontId="14" fillId="0" borderId="0" xfId="3" applyNumberFormat="1" applyFont="1" applyAlignment="1">
      <alignment horizontal="right"/>
    </xf>
    <xf numFmtId="0" fontId="14" fillId="0" borderId="0" xfId="3" applyFont="1"/>
    <xf numFmtId="3" fontId="5" fillId="0" borderId="0" xfId="3" applyNumberFormat="1" applyFont="1"/>
    <xf numFmtId="0" fontId="5" fillId="0" borderId="0" xfId="3" applyFont="1" applyAlignment="1">
      <alignment horizontal="right"/>
    </xf>
    <xf numFmtId="166" fontId="14" fillId="0" borderId="0" xfId="2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0" fontId="5" fillId="0" borderId="1" xfId="3" applyFont="1" applyBorder="1"/>
    <xf numFmtId="0" fontId="4" fillId="0" borderId="18" xfId="3" applyFont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4" xfId="3" applyFont="1" applyBorder="1"/>
    <xf numFmtId="164" fontId="4" fillId="0" borderId="5" xfId="3" applyNumberFormat="1" applyFont="1" applyBorder="1" applyAlignment="1">
      <alignment horizontal="right"/>
    </xf>
    <xf numFmtId="0" fontId="4" fillId="0" borderId="20" xfId="3" applyFont="1" applyBorder="1" applyAlignment="1">
      <alignment horizontal="right"/>
    </xf>
    <xf numFmtId="0" fontId="5" fillId="0" borderId="6" xfId="3" applyFont="1" applyBorder="1"/>
    <xf numFmtId="0" fontId="5" fillId="0" borderId="7" xfId="3" applyFont="1" applyBorder="1"/>
    <xf numFmtId="0" fontId="4" fillId="2" borderId="8" xfId="3" applyFont="1" applyFill="1" applyBorder="1"/>
    <xf numFmtId="0" fontId="5" fillId="0" borderId="10" xfId="3" applyFont="1" applyBorder="1"/>
    <xf numFmtId="165" fontId="4" fillId="0" borderId="0" xfId="1" applyNumberFormat="1" applyFont="1" applyAlignment="1">
      <alignment horizontal="right"/>
    </xf>
    <xf numFmtId="0" fontId="5" fillId="0" borderId="11" xfId="3" applyFont="1" applyBorder="1"/>
    <xf numFmtId="165" fontId="4" fillId="0" borderId="12" xfId="1" applyNumberFormat="1" applyFont="1" applyBorder="1"/>
    <xf numFmtId="165" fontId="4" fillId="0" borderId="13" xfId="1" applyNumberFormat="1" applyFont="1" applyBorder="1"/>
    <xf numFmtId="0" fontId="23" fillId="0" borderId="11" xfId="3" applyFont="1" applyBorder="1"/>
    <xf numFmtId="165" fontId="4" fillId="0" borderId="19" xfId="1" applyNumberFormat="1" applyFont="1" applyBorder="1"/>
    <xf numFmtId="165" fontId="6" fillId="0" borderId="0" xfId="1" applyNumberFormat="1" applyFont="1"/>
    <xf numFmtId="0" fontId="4" fillId="0" borderId="19" xfId="3" applyFont="1" applyBorder="1" applyAlignment="1">
      <alignment horizontal="right"/>
    </xf>
    <xf numFmtId="165" fontId="4" fillId="2" borderId="21" xfId="1" applyNumberFormat="1" applyFont="1" applyFill="1" applyBorder="1"/>
    <xf numFmtId="165" fontId="11" fillId="0" borderId="14" xfId="1" applyNumberFormat="1" applyFont="1" applyBorder="1"/>
    <xf numFmtId="164" fontId="4" fillId="0" borderId="20" xfId="3" applyNumberFormat="1" applyFont="1" applyBorder="1" applyAlignment="1">
      <alignment horizontal="right"/>
    </xf>
    <xf numFmtId="3" fontId="13" fillId="0" borderId="0" xfId="3" applyNumberFormat="1" applyFont="1" applyAlignment="1">
      <alignment horizontal="center"/>
    </xf>
    <xf numFmtId="0" fontId="24" fillId="0" borderId="4" xfId="3" applyFont="1" applyBorder="1"/>
    <xf numFmtId="0" fontId="24" fillId="0" borderId="11" xfId="3" applyFont="1" applyBorder="1"/>
    <xf numFmtId="165" fontId="11" fillId="0" borderId="13" xfId="1" applyNumberFormat="1" applyFont="1" applyBorder="1"/>
    <xf numFmtId="165" fontId="24" fillId="0" borderId="13" xfId="1" applyNumberFormat="1" applyFont="1" applyBorder="1"/>
    <xf numFmtId="165" fontId="4" fillId="0" borderId="14" xfId="1" applyNumberFormat="1" applyFont="1" applyBorder="1"/>
    <xf numFmtId="165" fontId="24" fillId="0" borderId="14" xfId="1" applyNumberFormat="1" applyFont="1" applyBorder="1"/>
    <xf numFmtId="165" fontId="4" fillId="0" borderId="9" xfId="1" applyNumberFormat="1" applyFont="1" applyBorder="1"/>
    <xf numFmtId="165" fontId="4" fillId="0" borderId="21" xfId="1" applyNumberFormat="1" applyFont="1" applyBorder="1"/>
    <xf numFmtId="0" fontId="5" fillId="0" borderId="8" xfId="3" applyFont="1" applyBorder="1"/>
    <xf numFmtId="0" fontId="23" fillId="0" borderId="4" xfId="3" applyFont="1" applyBorder="1"/>
    <xf numFmtId="0" fontId="5" fillId="7" borderId="11" xfId="3" applyFont="1" applyFill="1" applyBorder="1"/>
    <xf numFmtId="165" fontId="13" fillId="0" borderId="0" xfId="3" applyNumberFormat="1" applyFont="1"/>
    <xf numFmtId="0" fontId="9" fillId="0" borderId="0" xfId="3" applyFont="1" applyAlignment="1">
      <alignment horizontal="right"/>
    </xf>
    <xf numFmtId="0" fontId="12" fillId="0" borderId="0" xfId="0" applyFont="1" applyAlignment="1">
      <alignment horizontal="right"/>
    </xf>
    <xf numFmtId="0" fontId="25" fillId="0" borderId="0" xfId="4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right"/>
    </xf>
    <xf numFmtId="38" fontId="4" fillId="0" borderId="0" xfId="3" applyNumberFormat="1" applyFont="1"/>
    <xf numFmtId="3" fontId="28" fillId="0" borderId="0" xfId="3" applyNumberFormat="1" applyFont="1" applyAlignment="1">
      <alignment horizontal="right"/>
    </xf>
    <xf numFmtId="165" fontId="13" fillId="0" borderId="0" xfId="3" applyNumberFormat="1" applyFont="1" applyAlignment="1">
      <alignment horizontal="right"/>
    </xf>
    <xf numFmtId="165" fontId="12" fillId="3" borderId="0" xfId="1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22" fillId="9" borderId="0" xfId="4" applyFont="1" applyFill="1" applyAlignment="1">
      <alignment horizontal="right"/>
    </xf>
    <xf numFmtId="0" fontId="15" fillId="0" borderId="5" xfId="4" applyFont="1" applyBorder="1" applyAlignment="1">
      <alignment horizontal="right"/>
    </xf>
    <xf numFmtId="0" fontId="16" fillId="0" borderId="5" xfId="3" applyFont="1" applyBorder="1" applyAlignment="1">
      <alignment horizontal="left"/>
    </xf>
    <xf numFmtId="0" fontId="13" fillId="0" borderId="7" xfId="3" applyFont="1" applyBorder="1"/>
    <xf numFmtId="0" fontId="0" fillId="0" borderId="0" xfId="0" quotePrefix="1"/>
    <xf numFmtId="14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3" xfId="0" applyBorder="1"/>
    <xf numFmtId="165" fontId="12" fillId="0" borderId="0" xfId="1" applyNumberFormat="1" applyFont="1" applyFill="1"/>
    <xf numFmtId="0" fontId="0" fillId="0" borderId="1" xfId="0" applyBorder="1"/>
    <xf numFmtId="164" fontId="13" fillId="0" borderId="0" xfId="3" applyNumberFormat="1" applyFont="1" applyAlignment="1">
      <alignment horizontal="right"/>
    </xf>
    <xf numFmtId="0" fontId="18" fillId="0" borderId="0" xfId="4" applyFont="1" applyAlignment="1">
      <alignment horizontal="right"/>
    </xf>
    <xf numFmtId="165" fontId="23" fillId="0" borderId="9" xfId="1" applyNumberFormat="1" applyFont="1" applyBorder="1"/>
    <xf numFmtId="165" fontId="23" fillId="0" borderId="21" xfId="1" applyNumberFormat="1" applyFont="1" applyBorder="1"/>
    <xf numFmtId="165" fontId="23" fillId="0" borderId="14" xfId="1" applyNumberFormat="1" applyFont="1" applyBorder="1"/>
    <xf numFmtId="165" fontId="23" fillId="0" borderId="13" xfId="1" applyNumberFormat="1" applyFont="1" applyBorder="1"/>
    <xf numFmtId="165" fontId="5" fillId="7" borderId="12" xfId="1" applyNumberFormat="1" applyFont="1" applyFill="1" applyBorder="1"/>
    <xf numFmtId="165" fontId="5" fillId="7" borderId="13" xfId="1" applyNumberFormat="1" applyFont="1" applyFill="1" applyBorder="1"/>
    <xf numFmtId="0" fontId="5" fillId="8" borderId="8" xfId="3" applyFont="1" applyFill="1" applyBorder="1"/>
    <xf numFmtId="165" fontId="4" fillId="8" borderId="14" xfId="3" applyNumberFormat="1" applyFont="1" applyFill="1" applyBorder="1"/>
    <xf numFmtId="165" fontId="4" fillId="8" borderId="13" xfId="1" applyNumberFormat="1" applyFont="1" applyFill="1" applyBorder="1"/>
    <xf numFmtId="0" fontId="12" fillId="18" borderId="0" xfId="0" applyFont="1" applyFill="1"/>
    <xf numFmtId="0" fontId="12" fillId="11" borderId="0" xfId="0" applyFont="1" applyFill="1"/>
    <xf numFmtId="0" fontId="12" fillId="14" borderId="0" xfId="0" applyFont="1" applyFill="1"/>
    <xf numFmtId="0" fontId="12" fillId="13" borderId="0" xfId="0" applyFont="1" applyFill="1"/>
    <xf numFmtId="0" fontId="12" fillId="16" borderId="0" xfId="0" applyFont="1" applyFill="1"/>
    <xf numFmtId="0" fontId="12" fillId="17" borderId="0" xfId="0" applyFont="1" applyFill="1"/>
    <xf numFmtId="0" fontId="30" fillId="18" borderId="0" xfId="0" applyFont="1" applyFill="1"/>
    <xf numFmtId="0" fontId="16" fillId="18" borderId="0" xfId="3" applyFont="1" applyFill="1"/>
    <xf numFmtId="0" fontId="13" fillId="18" borderId="0" xfId="3" applyFont="1" applyFill="1"/>
    <xf numFmtId="0" fontId="31" fillId="18" borderId="0" xfId="3" applyFont="1" applyFill="1"/>
    <xf numFmtId="0" fontId="0" fillId="18" borderId="0" xfId="0" applyFill="1"/>
    <xf numFmtId="0" fontId="14" fillId="18" borderId="0" xfId="3" applyFont="1" applyFill="1"/>
    <xf numFmtId="0" fontId="30" fillId="13" borderId="0" xfId="0" applyFont="1" applyFill="1"/>
    <xf numFmtId="0" fontId="16" fillId="13" borderId="0" xfId="3" applyFont="1" applyFill="1"/>
    <xf numFmtId="0" fontId="13" fillId="13" borderId="0" xfId="3" applyFont="1" applyFill="1"/>
    <xf numFmtId="0" fontId="31" fillId="13" borderId="0" xfId="3" applyFont="1" applyFill="1"/>
    <xf numFmtId="0" fontId="0" fillId="13" borderId="0" xfId="0" applyFill="1"/>
    <xf numFmtId="0" fontId="14" fillId="13" borderId="0" xfId="3" applyFont="1" applyFill="1"/>
    <xf numFmtId="168" fontId="12" fillId="13" borderId="0" xfId="2" applyNumberFormat="1" applyFont="1" applyFill="1" applyBorder="1" applyAlignment="1">
      <alignment horizontal="left"/>
    </xf>
    <xf numFmtId="0" fontId="9" fillId="13" borderId="0" xfId="3" applyFont="1" applyFill="1" applyAlignment="1">
      <alignment horizontal="right"/>
    </xf>
    <xf numFmtId="0" fontId="12" fillId="13" borderId="0" xfId="0" applyFont="1" applyFill="1" applyAlignment="1">
      <alignment horizontal="right"/>
    </xf>
    <xf numFmtId="3" fontId="13" fillId="13" borderId="0" xfId="3" applyNumberFormat="1" applyFont="1" applyFill="1" applyAlignment="1">
      <alignment horizontal="center"/>
    </xf>
    <xf numFmtId="3" fontId="13" fillId="13" borderId="0" xfId="3" applyNumberFormat="1" applyFont="1" applyFill="1"/>
    <xf numFmtId="9" fontId="14" fillId="13" borderId="0" xfId="2" applyFont="1" applyFill="1" applyBorder="1" applyAlignment="1">
      <alignment horizontal="center"/>
    </xf>
    <xf numFmtId="0" fontId="0" fillId="18" borderId="0" xfId="0" applyFill="1" applyAlignment="1">
      <alignment horizontal="right"/>
    </xf>
    <xf numFmtId="0" fontId="13" fillId="18" borderId="0" xfId="3" applyFont="1" applyFill="1" applyAlignment="1">
      <alignment horizontal="right"/>
    </xf>
    <xf numFmtId="0" fontId="9" fillId="18" borderId="0" xfId="3" applyFont="1" applyFill="1" applyAlignment="1">
      <alignment horizontal="right"/>
    </xf>
    <xf numFmtId="0" fontId="12" fillId="18" borderId="0" xfId="0" applyFont="1" applyFill="1" applyAlignment="1">
      <alignment horizontal="right"/>
    </xf>
    <xf numFmtId="3" fontId="13" fillId="18" borderId="0" xfId="3" applyNumberFormat="1" applyFont="1" applyFill="1" applyAlignment="1">
      <alignment horizontal="center"/>
    </xf>
    <xf numFmtId="3" fontId="13" fillId="18" borderId="0" xfId="3" applyNumberFormat="1" applyFont="1" applyFill="1"/>
    <xf numFmtId="9" fontId="14" fillId="18" borderId="0" xfId="2" applyFont="1" applyFill="1" applyBorder="1" applyAlignment="1">
      <alignment horizontal="center"/>
    </xf>
    <xf numFmtId="0" fontId="0" fillId="17" borderId="0" xfId="0" applyFill="1"/>
    <xf numFmtId="0" fontId="9" fillId="17" borderId="0" xfId="3" applyFont="1" applyFill="1" applyAlignment="1">
      <alignment horizontal="right"/>
    </xf>
    <xf numFmtId="168" fontId="12" fillId="17" borderId="0" xfId="2" applyNumberFormat="1" applyFont="1" applyFill="1" applyBorder="1" applyAlignment="1">
      <alignment horizontal="left"/>
    </xf>
    <xf numFmtId="0" fontId="12" fillId="17" borderId="0" xfId="0" applyFont="1" applyFill="1" applyAlignment="1">
      <alignment horizontal="right"/>
    </xf>
    <xf numFmtId="0" fontId="13" fillId="17" borderId="0" xfId="3" applyFont="1" applyFill="1"/>
    <xf numFmtId="0" fontId="30" fillId="14" borderId="0" xfId="0" applyFont="1" applyFill="1"/>
    <xf numFmtId="0" fontId="16" fillId="14" borderId="0" xfId="3" applyFont="1" applyFill="1"/>
    <xf numFmtId="0" fontId="13" fillId="14" borderId="0" xfId="3" applyFont="1" applyFill="1"/>
    <xf numFmtId="0" fontId="31" fillId="14" borderId="0" xfId="3" applyFont="1" applyFill="1"/>
    <xf numFmtId="0" fontId="0" fillId="14" borderId="0" xfId="0" applyFill="1"/>
    <xf numFmtId="0" fontId="14" fillId="14" borderId="0" xfId="3" applyFont="1" applyFill="1"/>
    <xf numFmtId="0" fontId="30" fillId="17" borderId="0" xfId="0" applyFont="1" applyFill="1"/>
    <xf numFmtId="0" fontId="16" fillId="17" borderId="0" xfId="3" applyFont="1" applyFill="1"/>
    <xf numFmtId="0" fontId="31" fillId="17" borderId="0" xfId="3" applyFont="1" applyFill="1"/>
    <xf numFmtId="0" fontId="14" fillId="17" borderId="0" xfId="3" applyFont="1" applyFill="1"/>
    <xf numFmtId="3" fontId="13" fillId="17" borderId="0" xfId="3" applyNumberFormat="1" applyFont="1" applyFill="1" applyAlignment="1">
      <alignment horizontal="center"/>
    </xf>
    <xf numFmtId="3" fontId="13" fillId="17" borderId="0" xfId="3" applyNumberFormat="1" applyFont="1" applyFill="1"/>
    <xf numFmtId="9" fontId="14" fillId="17" borderId="0" xfId="2" applyFont="1" applyFill="1" applyBorder="1" applyAlignment="1">
      <alignment horizontal="center"/>
    </xf>
    <xf numFmtId="168" fontId="12" fillId="14" borderId="0" xfId="2" applyNumberFormat="1" applyFont="1" applyFill="1" applyBorder="1" applyAlignment="1">
      <alignment horizontal="left"/>
    </xf>
    <xf numFmtId="0" fontId="9" fillId="14" borderId="0" xfId="3" applyFont="1" applyFill="1" applyAlignment="1">
      <alignment horizontal="right"/>
    </xf>
    <xf numFmtId="0" fontId="12" fillId="14" borderId="0" xfId="0" applyFont="1" applyFill="1" applyAlignment="1">
      <alignment horizontal="right"/>
    </xf>
    <xf numFmtId="3" fontId="13" fillId="14" borderId="0" xfId="3" applyNumberFormat="1" applyFont="1" applyFill="1" applyAlignment="1">
      <alignment horizontal="center"/>
    </xf>
    <xf numFmtId="3" fontId="13" fillId="14" borderId="0" xfId="3" applyNumberFormat="1" applyFont="1" applyFill="1"/>
    <xf numFmtId="9" fontId="14" fillId="14" borderId="0" xfId="2" applyFont="1" applyFill="1" applyBorder="1" applyAlignment="1">
      <alignment horizontal="center"/>
    </xf>
    <xf numFmtId="0" fontId="15" fillId="13" borderId="0" xfId="0" applyFont="1" applyFill="1"/>
    <xf numFmtId="0" fontId="15" fillId="14" borderId="0" xfId="0" applyFont="1" applyFill="1"/>
    <xf numFmtId="164" fontId="14" fillId="0" borderId="0" xfId="3" applyNumberFormat="1" applyFont="1" applyAlignment="1">
      <alignment horizontal="left"/>
    </xf>
    <xf numFmtId="168" fontId="14" fillId="0" borderId="0" xfId="2" applyNumberFormat="1" applyFont="1" applyFill="1" applyBorder="1" applyAlignment="1">
      <alignment horizontal="left"/>
    </xf>
    <xf numFmtId="0" fontId="15" fillId="18" borderId="0" xfId="0" applyFont="1" applyFill="1"/>
    <xf numFmtId="0" fontId="15" fillId="17" borderId="0" xfId="0" applyFont="1" applyFill="1"/>
    <xf numFmtId="0" fontId="15" fillId="16" borderId="0" xfId="0" applyFont="1" applyFill="1"/>
    <xf numFmtId="0" fontId="0" fillId="16" borderId="0" xfId="0" applyFill="1"/>
    <xf numFmtId="168" fontId="12" fillId="16" borderId="0" xfId="2" applyNumberFormat="1" applyFont="1" applyFill="1" applyBorder="1" applyAlignment="1">
      <alignment horizontal="left"/>
    </xf>
    <xf numFmtId="0" fontId="9" fillId="16" borderId="0" xfId="3" applyFont="1" applyFill="1" applyAlignment="1">
      <alignment horizontal="right"/>
    </xf>
    <xf numFmtId="0" fontId="12" fillId="16" borderId="0" xfId="0" applyFont="1" applyFill="1" applyAlignment="1">
      <alignment horizontal="right"/>
    </xf>
    <xf numFmtId="0" fontId="30" fillId="16" borderId="0" xfId="0" applyFont="1" applyFill="1"/>
    <xf numFmtId="0" fontId="16" fillId="16" borderId="0" xfId="3" applyFont="1" applyFill="1"/>
    <xf numFmtId="0" fontId="13" fillId="16" borderId="0" xfId="3" applyFont="1" applyFill="1"/>
    <xf numFmtId="0" fontId="31" fillId="16" borderId="0" xfId="3" applyFont="1" applyFill="1"/>
    <xf numFmtId="0" fontId="14" fillId="16" borderId="0" xfId="3" applyFont="1" applyFill="1"/>
    <xf numFmtId="3" fontId="13" fillId="16" borderId="0" xfId="3" applyNumberFormat="1" applyFont="1" applyFill="1" applyAlignment="1">
      <alignment horizontal="center"/>
    </xf>
    <xf numFmtId="3" fontId="13" fillId="16" borderId="0" xfId="3" applyNumberFormat="1" applyFont="1" applyFill="1"/>
    <xf numFmtId="9" fontId="14" fillId="16" borderId="0" xfId="2" applyFont="1" applyFill="1" applyBorder="1" applyAlignment="1">
      <alignment horizontal="center"/>
    </xf>
    <xf numFmtId="0" fontId="12" fillId="18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  <xf numFmtId="0" fontId="12" fillId="14" borderId="0" xfId="0" applyFont="1" applyFill="1" applyAlignment="1">
      <alignment horizontal="left"/>
    </xf>
    <xf numFmtId="0" fontId="12" fillId="16" borderId="0" xfId="0" applyFont="1" applyFill="1" applyAlignment="1">
      <alignment horizontal="left"/>
    </xf>
    <xf numFmtId="0" fontId="12" fillId="17" borderId="0" xfId="0" applyFont="1" applyFill="1" applyAlignment="1">
      <alignment horizontal="left"/>
    </xf>
    <xf numFmtId="0" fontId="15" fillId="11" borderId="0" xfId="0" applyFont="1" applyFill="1"/>
    <xf numFmtId="0" fontId="0" fillId="11" borderId="0" xfId="0" applyFill="1"/>
    <xf numFmtId="0" fontId="12" fillId="11" borderId="0" xfId="0" applyFont="1" applyFill="1" applyAlignment="1">
      <alignment horizontal="left"/>
    </xf>
    <xf numFmtId="168" fontId="12" fillId="11" borderId="0" xfId="2" applyNumberFormat="1" applyFont="1" applyFill="1" applyBorder="1" applyAlignment="1">
      <alignment horizontal="left"/>
    </xf>
    <xf numFmtId="0" fontId="9" fillId="11" borderId="0" xfId="3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30" fillId="11" borderId="0" xfId="0" applyFont="1" applyFill="1"/>
    <xf numFmtId="0" fontId="16" fillId="11" borderId="0" xfId="3" applyFont="1" applyFill="1"/>
    <xf numFmtId="0" fontId="13" fillId="11" borderId="0" xfId="3" applyFont="1" applyFill="1"/>
    <xf numFmtId="0" fontId="31" fillId="11" borderId="0" xfId="3" applyFont="1" applyFill="1"/>
    <xf numFmtId="0" fontId="14" fillId="11" borderId="0" xfId="3" applyFont="1" applyFill="1"/>
    <xf numFmtId="3" fontId="13" fillId="11" borderId="0" xfId="3" applyNumberFormat="1" applyFont="1" applyFill="1" applyAlignment="1">
      <alignment horizontal="center"/>
    </xf>
    <xf numFmtId="3" fontId="13" fillId="11" borderId="0" xfId="3" applyNumberFormat="1" applyFont="1" applyFill="1"/>
    <xf numFmtId="9" fontId="14" fillId="11" borderId="0" xfId="2" applyFont="1" applyFill="1" applyBorder="1" applyAlignment="1">
      <alignment horizontal="center"/>
    </xf>
    <xf numFmtId="0" fontId="0" fillId="11" borderId="0" xfId="0" quotePrefix="1" applyFill="1"/>
    <xf numFmtId="169" fontId="13" fillId="0" borderId="0" xfId="3" applyNumberFormat="1" applyFont="1" applyAlignment="1">
      <alignment horizontal="center"/>
    </xf>
    <xf numFmtId="0" fontId="13" fillId="4" borderId="0" xfId="3" applyFont="1" applyFill="1"/>
    <xf numFmtId="165" fontId="13" fillId="4" borderId="0" xfId="1" applyNumberFormat="1" applyFont="1" applyFill="1" applyBorder="1"/>
    <xf numFmtId="0" fontId="34" fillId="0" borderId="0" xfId="15" applyFill="1"/>
    <xf numFmtId="0" fontId="21" fillId="0" borderId="0" xfId="0" applyFont="1" applyAlignment="1">
      <alignment horizontal="left"/>
    </xf>
    <xf numFmtId="168" fontId="12" fillId="0" borderId="0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left"/>
    </xf>
    <xf numFmtId="168" fontId="21" fillId="0" borderId="0" xfId="2" applyNumberFormat="1" applyFont="1" applyFill="1" applyBorder="1" applyAlignment="1">
      <alignment horizontal="left"/>
    </xf>
    <xf numFmtId="0" fontId="21" fillId="0" borderId="0" xfId="0" applyFont="1"/>
    <xf numFmtId="0" fontId="0" fillId="0" borderId="0" xfId="0" quotePrefix="1" applyAlignment="1">
      <alignment horizontal="left"/>
    </xf>
    <xf numFmtId="0" fontId="13" fillId="14" borderId="0" xfId="3" applyFont="1" applyFill="1" applyAlignment="1">
      <alignment horizontal="right"/>
    </xf>
    <xf numFmtId="0" fontId="13" fillId="11" borderId="0" xfId="3" applyFont="1" applyFill="1" applyAlignment="1">
      <alignment horizontal="right"/>
    </xf>
    <xf numFmtId="0" fontId="13" fillId="16" borderId="0" xfId="3" applyFont="1" applyFill="1" applyAlignment="1">
      <alignment horizontal="right"/>
    </xf>
    <xf numFmtId="0" fontId="13" fillId="13" borderId="0" xfId="3" applyFont="1" applyFill="1" applyAlignment="1">
      <alignment horizontal="right"/>
    </xf>
    <xf numFmtId="0" fontId="13" fillId="17" borderId="0" xfId="3" applyFont="1" applyFill="1" applyAlignment="1">
      <alignment horizontal="right"/>
    </xf>
    <xf numFmtId="0" fontId="4" fillId="0" borderId="18" xfId="3" applyFont="1" applyBorder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19" xfId="3" applyFont="1" applyBorder="1" applyAlignment="1">
      <alignment horizontal="center"/>
    </xf>
    <xf numFmtId="164" fontId="4" fillId="0" borderId="5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39" fillId="0" borderId="0" xfId="16" applyFont="1" applyAlignment="1">
      <alignment wrapText="1"/>
    </xf>
    <xf numFmtId="0" fontId="1" fillId="0" borderId="0" xfId="16" applyAlignment="1">
      <alignment wrapText="1"/>
    </xf>
    <xf numFmtId="0" fontId="1" fillId="0" borderId="0" xfId="16"/>
    <xf numFmtId="0" fontId="1" fillId="0" borderId="0" xfId="16" applyAlignment="1">
      <alignment horizontal="center"/>
    </xf>
    <xf numFmtId="0" fontId="1" fillId="12" borderId="0" xfId="16" applyFill="1" applyAlignment="1">
      <alignment wrapText="1"/>
    </xf>
    <xf numFmtId="0" fontId="1" fillId="12" borderId="0" xfId="16" applyFill="1"/>
    <xf numFmtId="0" fontId="1" fillId="12" borderId="0" xfId="16" applyFill="1" applyAlignment="1">
      <alignment horizontal="center"/>
    </xf>
    <xf numFmtId="0" fontId="0" fillId="0" borderId="23" xfId="16" applyFont="1" applyBorder="1" applyAlignment="1">
      <alignment wrapText="1"/>
    </xf>
    <xf numFmtId="0" fontId="0" fillId="0" borderId="23" xfId="16" applyFont="1" applyBorder="1"/>
    <xf numFmtId="0" fontId="1" fillId="6" borderId="23" xfId="16" applyFill="1" applyBorder="1" applyAlignment="1">
      <alignment horizontal="center"/>
    </xf>
    <xf numFmtId="167" fontId="0" fillId="0" borderId="23" xfId="17" applyNumberFormat="1" applyFont="1" applyBorder="1" applyAlignment="1">
      <alignment horizontal="center"/>
    </xf>
    <xf numFmtId="0" fontId="0" fillId="6" borderId="23" xfId="17" applyNumberFormat="1" applyFont="1" applyFill="1" applyBorder="1" applyAlignment="1">
      <alignment horizontal="center"/>
    </xf>
    <xf numFmtId="167" fontId="0" fillId="15" borderId="23" xfId="17" applyNumberFormat="1" applyFont="1" applyFill="1" applyBorder="1" applyAlignment="1">
      <alignment horizontal="center"/>
    </xf>
    <xf numFmtId="0" fontId="1" fillId="6" borderId="20" xfId="16" applyFill="1" applyBorder="1" applyAlignment="1">
      <alignment horizontal="center"/>
    </xf>
    <xf numFmtId="167" fontId="1" fillId="0" borderId="24" xfId="16" applyNumberForma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164" fontId="4" fillId="0" borderId="20" xfId="3" applyNumberFormat="1" applyFont="1" applyBorder="1" applyAlignment="1">
      <alignment horizontal="center"/>
    </xf>
    <xf numFmtId="0" fontId="13" fillId="12" borderId="0" xfId="3" applyFont="1" applyFill="1"/>
    <xf numFmtId="167" fontId="1" fillId="15" borderId="23" xfId="16" applyNumberFormat="1" applyFill="1" applyBorder="1" applyAlignment="1">
      <alignment horizontal="center"/>
    </xf>
    <xf numFmtId="0" fontId="8" fillId="12" borderId="23" xfId="16" applyFont="1" applyFill="1" applyBorder="1" applyAlignment="1">
      <alignment horizontal="center" wrapText="1"/>
    </xf>
    <xf numFmtId="0" fontId="8" fillId="12" borderId="5" xfId="16" applyFont="1" applyFill="1" applyBorder="1" applyAlignment="1">
      <alignment horizontal="center" wrapText="1"/>
    </xf>
    <xf numFmtId="0" fontId="1" fillId="0" borderId="0" xfId="4"/>
    <xf numFmtId="0" fontId="1" fillId="0" borderId="0" xfId="4" applyAlignment="1">
      <alignment horizontal="center"/>
    </xf>
    <xf numFmtId="42" fontId="1" fillId="0" borderId="0" xfId="4" applyNumberFormat="1"/>
    <xf numFmtId="42" fontId="41" fillId="0" borderId="25" xfId="4" applyNumberFormat="1" applyFont="1" applyBorder="1"/>
    <xf numFmtId="42" fontId="41" fillId="0" borderId="26" xfId="4" applyNumberFormat="1" applyFont="1" applyBorder="1"/>
    <xf numFmtId="0" fontId="42" fillId="0" borderId="27" xfId="4" applyFont="1" applyBorder="1"/>
    <xf numFmtId="0" fontId="20" fillId="0" borderId="0" xfId="4" applyFont="1"/>
    <xf numFmtId="42" fontId="42" fillId="0" borderId="28" xfId="4" applyNumberFormat="1" applyFont="1" applyBorder="1"/>
    <xf numFmtId="42" fontId="42" fillId="0" borderId="29" xfId="4" applyNumberFormat="1" applyFont="1" applyBorder="1"/>
    <xf numFmtId="0" fontId="42" fillId="0" borderId="30" xfId="4" applyFont="1" applyBorder="1"/>
    <xf numFmtId="0" fontId="43" fillId="0" borderId="0" xfId="4" applyFont="1"/>
    <xf numFmtId="0" fontId="43" fillId="0" borderId="0" xfId="4" applyFont="1" applyAlignment="1">
      <alignment horizontal="center"/>
    </xf>
    <xf numFmtId="42" fontId="43" fillId="0" borderId="0" xfId="4" applyNumberFormat="1" applyFont="1"/>
    <xf numFmtId="170" fontId="40" fillId="0" borderId="0" xfId="4" applyNumberFormat="1" applyFont="1"/>
    <xf numFmtId="170" fontId="1" fillId="0" borderId="0" xfId="4" applyNumberFormat="1"/>
    <xf numFmtId="0" fontId="41" fillId="0" borderId="31" xfId="4" applyFont="1" applyBorder="1" applyAlignment="1">
      <alignment horizontal="center"/>
    </xf>
    <xf numFmtId="0" fontId="41" fillId="0" borderId="32" xfId="4" applyFont="1" applyBorder="1" applyAlignment="1">
      <alignment horizontal="center"/>
    </xf>
    <xf numFmtId="0" fontId="42" fillId="0" borderId="33" xfId="4" applyFont="1" applyBorder="1"/>
    <xf numFmtId="0" fontId="8" fillId="0" borderId="0" xfId="4" applyFont="1"/>
    <xf numFmtId="0" fontId="8" fillId="0" borderId="0" xfId="4" applyFont="1" applyAlignment="1">
      <alignment horizontal="center"/>
    </xf>
    <xf numFmtId="42" fontId="8" fillId="0" borderId="0" xfId="4" applyNumberFormat="1" applyFont="1"/>
    <xf numFmtId="170" fontId="8" fillId="0" borderId="0" xfId="4" applyNumberFormat="1" applyFont="1"/>
    <xf numFmtId="0" fontId="44" fillId="0" borderId="0" xfId="4" applyFont="1" applyAlignment="1">
      <alignment horizontal="center"/>
    </xf>
    <xf numFmtId="42" fontId="20" fillId="0" borderId="0" xfId="4" applyNumberFormat="1" applyFont="1"/>
    <xf numFmtId="42" fontId="43" fillId="0" borderId="23" xfId="4" applyNumberFormat="1" applyFont="1" applyBorder="1"/>
    <xf numFmtId="0" fontId="43" fillId="0" borderId="29" xfId="4" applyFont="1" applyBorder="1" applyAlignment="1">
      <alignment horizontal="center"/>
    </xf>
    <xf numFmtId="42" fontId="43" fillId="0" borderId="29" xfId="4" applyNumberFormat="1" applyFont="1" applyBorder="1"/>
    <xf numFmtId="0" fontId="43" fillId="0" borderId="29" xfId="4" applyFont="1" applyBorder="1"/>
    <xf numFmtId="42" fontId="45" fillId="0" borderId="0" xfId="4" applyNumberFormat="1" applyFont="1"/>
    <xf numFmtId="0" fontId="20" fillId="0" borderId="0" xfId="4" applyFont="1" applyAlignment="1">
      <alignment horizontal="left"/>
    </xf>
    <xf numFmtId="42" fontId="46" fillId="0" borderId="0" xfId="4" applyNumberFormat="1" applyFont="1"/>
    <xf numFmtId="0" fontId="46" fillId="0" borderId="0" xfId="4" applyFont="1"/>
    <xf numFmtId="0" fontId="43" fillId="0" borderId="29" xfId="4" applyFont="1" applyBorder="1" applyAlignment="1">
      <alignment wrapText="1"/>
    </xf>
    <xf numFmtId="0" fontId="43" fillId="0" borderId="23" xfId="4" applyFont="1" applyBorder="1" applyAlignment="1">
      <alignment horizontal="center"/>
    </xf>
    <xf numFmtId="0" fontId="43" fillId="0" borderId="23" xfId="4" applyFont="1" applyBorder="1"/>
    <xf numFmtId="0" fontId="46" fillId="0" borderId="26" xfId="4" applyFont="1" applyBorder="1" applyAlignment="1">
      <alignment horizontal="center"/>
    </xf>
    <xf numFmtId="0" fontId="46" fillId="0" borderId="26" xfId="4" applyFont="1" applyBorder="1"/>
    <xf numFmtId="0" fontId="46" fillId="0" borderId="0" xfId="4" applyFont="1" applyAlignment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14" fillId="18" borderId="0" xfId="0" applyFont="1" applyFill="1" applyAlignment="1" applyProtection="1">
      <alignment horizontal="left"/>
      <protection locked="0"/>
    </xf>
    <xf numFmtId="0" fontId="14" fillId="18" borderId="0" xfId="0" applyFont="1" applyFill="1" applyProtection="1">
      <protection locked="0"/>
    </xf>
    <xf numFmtId="0" fontId="0" fillId="18" borderId="0" xfId="0" applyFill="1" applyProtection="1">
      <protection locked="0"/>
    </xf>
    <xf numFmtId="3" fontId="14" fillId="0" borderId="0" xfId="3" applyNumberFormat="1" applyFont="1" applyAlignment="1" applyProtection="1">
      <alignment horizontal="center"/>
      <protection locked="0"/>
    </xf>
    <xf numFmtId="9" fontId="14" fillId="0" borderId="0" xfId="2" applyFont="1" applyBorder="1" applyAlignment="1" applyProtection="1">
      <alignment horizontal="center"/>
      <protection locked="0"/>
    </xf>
    <xf numFmtId="2" fontId="14" fillId="0" borderId="0" xfId="2" applyNumberFormat="1" applyFont="1" applyBorder="1" applyAlignment="1" applyProtection="1">
      <alignment horizontal="right"/>
      <protection locked="0"/>
    </xf>
    <xf numFmtId="165" fontId="14" fillId="0" borderId="0" xfId="3" applyNumberFormat="1" applyFont="1" applyAlignment="1" applyProtection="1">
      <alignment horizontal="right"/>
      <protection locked="0"/>
    </xf>
    <xf numFmtId="0" fontId="14" fillId="10" borderId="0" xfId="3" applyFont="1" applyFill="1" applyProtection="1">
      <protection locked="0"/>
    </xf>
    <xf numFmtId="0" fontId="14" fillId="0" borderId="0" xfId="3" applyFont="1" applyProtection="1">
      <protection locked="0"/>
    </xf>
    <xf numFmtId="1" fontId="14" fillId="0" borderId="0" xfId="2" applyNumberFormat="1" applyFont="1" applyBorder="1" applyAlignment="1" applyProtection="1">
      <alignment horizontal="right"/>
      <protection locked="0"/>
    </xf>
    <xf numFmtId="165" fontId="13" fillId="0" borderId="0" xfId="3" applyNumberFormat="1" applyFont="1" applyAlignment="1" applyProtection="1">
      <alignment horizontal="right"/>
      <protection locked="0"/>
    </xf>
    <xf numFmtId="3" fontId="12" fillId="0" borderId="0" xfId="3" applyNumberFormat="1" applyFont="1" applyAlignment="1" applyProtection="1">
      <alignment horizontal="center"/>
      <protection locked="0"/>
    </xf>
    <xf numFmtId="166" fontId="14" fillId="0" borderId="0" xfId="2" applyNumberFormat="1" applyFont="1" applyBorder="1" applyAlignment="1" applyProtection="1">
      <alignment horizontal="center"/>
      <protection locked="0"/>
    </xf>
    <xf numFmtId="0" fontId="16" fillId="18" borderId="0" xfId="3" applyFont="1" applyFill="1" applyProtection="1">
      <protection locked="0"/>
    </xf>
    <xf numFmtId="0" fontId="14" fillId="13" borderId="0" xfId="0" applyFont="1" applyFill="1" applyAlignment="1" applyProtection="1">
      <alignment horizontal="left"/>
      <protection locked="0"/>
    </xf>
    <xf numFmtId="0" fontId="14" fillId="13" borderId="0" xfId="0" applyFont="1" applyFill="1" applyProtection="1">
      <protection locked="0"/>
    </xf>
    <xf numFmtId="0" fontId="29" fillId="13" borderId="0" xfId="0" applyFont="1" applyFill="1" applyProtection="1">
      <protection locked="0"/>
    </xf>
    <xf numFmtId="0" fontId="16" fillId="13" borderId="0" xfId="3" applyFont="1" applyFill="1" applyProtection="1">
      <protection locked="0"/>
    </xf>
    <xf numFmtId="0" fontId="14" fillId="14" borderId="0" xfId="0" applyFont="1" applyFill="1" applyAlignment="1" applyProtection="1">
      <alignment horizontal="left"/>
      <protection locked="0"/>
    </xf>
    <xf numFmtId="0" fontId="14" fillId="14" borderId="0" xfId="0" applyFont="1" applyFill="1" applyProtection="1">
      <protection locked="0"/>
    </xf>
    <xf numFmtId="0" fontId="29" fillId="14" borderId="0" xfId="0" applyFont="1" applyFill="1" applyProtection="1">
      <protection locked="0"/>
    </xf>
    <xf numFmtId="0" fontId="16" fillId="14" borderId="0" xfId="3" applyFont="1" applyFill="1" applyProtection="1">
      <protection locked="0"/>
    </xf>
    <xf numFmtId="0" fontId="14" fillId="16" borderId="0" xfId="0" applyFont="1" applyFill="1" applyAlignment="1" applyProtection="1">
      <alignment horizontal="left"/>
      <protection locked="0"/>
    </xf>
    <xf numFmtId="0" fontId="14" fillId="16" borderId="0" xfId="0" applyFont="1" applyFill="1" applyProtection="1">
      <protection locked="0"/>
    </xf>
    <xf numFmtId="0" fontId="29" fillId="16" borderId="0" xfId="0" applyFont="1" applyFill="1" applyProtection="1">
      <protection locked="0"/>
    </xf>
    <xf numFmtId="0" fontId="14" fillId="17" borderId="0" xfId="0" applyFont="1" applyFill="1" applyAlignment="1" applyProtection="1">
      <alignment horizontal="left"/>
      <protection locked="0"/>
    </xf>
    <xf numFmtId="0" fontId="14" fillId="17" borderId="0" xfId="0" applyFont="1" applyFill="1" applyProtection="1">
      <protection locked="0"/>
    </xf>
    <xf numFmtId="0" fontId="29" fillId="17" borderId="0" xfId="0" applyFont="1" applyFill="1" applyProtection="1">
      <protection locked="0"/>
    </xf>
    <xf numFmtId="0" fontId="16" fillId="17" borderId="0" xfId="3" applyFont="1" applyFill="1" applyProtection="1">
      <protection locked="0"/>
    </xf>
    <xf numFmtId="0" fontId="14" fillId="11" borderId="0" xfId="0" applyFont="1" applyFill="1" applyAlignment="1" applyProtection="1">
      <alignment horizontal="left"/>
      <protection locked="0"/>
    </xf>
    <xf numFmtId="0" fontId="14" fillId="11" borderId="0" xfId="0" applyFont="1" applyFill="1" applyProtection="1">
      <protection locked="0"/>
    </xf>
    <xf numFmtId="0" fontId="29" fillId="11" borderId="0" xfId="0" applyFont="1" applyFill="1" applyProtection="1">
      <protection locked="0"/>
    </xf>
    <xf numFmtId="0" fontId="52" fillId="19" borderId="0" xfId="15" applyFont="1" applyFill="1" applyAlignment="1">
      <alignment vertical="center"/>
    </xf>
    <xf numFmtId="0" fontId="4" fillId="0" borderId="0" xfId="3" applyFont="1" applyProtection="1">
      <protection locked="0"/>
    </xf>
    <xf numFmtId="14" fontId="4" fillId="0" borderId="0" xfId="3" applyNumberFormat="1" applyFont="1" applyProtection="1">
      <protection locked="0"/>
    </xf>
    <xf numFmtId="3" fontId="4" fillId="0" borderId="0" xfId="3" applyNumberFormat="1" applyFont="1" applyProtection="1">
      <protection locked="0"/>
    </xf>
    <xf numFmtId="165" fontId="4" fillId="0" borderId="0" xfId="1" applyNumberFormat="1" applyFont="1" applyProtection="1">
      <protection locked="0"/>
    </xf>
    <xf numFmtId="165" fontId="4" fillId="0" borderId="0" xfId="3" applyNumberFormat="1" applyFont="1" applyProtection="1">
      <protection locked="0"/>
    </xf>
    <xf numFmtId="3" fontId="5" fillId="0" borderId="0" xfId="3" applyNumberFormat="1" applyFont="1" applyProtection="1">
      <protection locked="0"/>
    </xf>
    <xf numFmtId="0" fontId="5" fillId="0" borderId="0" xfId="3" applyFont="1" applyAlignment="1" applyProtection="1">
      <alignment horizontal="right"/>
      <protection locked="0"/>
    </xf>
    <xf numFmtId="0" fontId="18" fillId="0" borderId="0" xfId="3" applyFont="1" applyProtection="1">
      <protection locked="0"/>
    </xf>
    <xf numFmtId="0" fontId="19" fillId="0" borderId="0" xfId="4" applyFont="1" applyAlignment="1" applyProtection="1">
      <alignment horizontal="right"/>
      <protection locked="0"/>
    </xf>
    <xf numFmtId="169" fontId="4" fillId="0" borderId="0" xfId="3" quotePrefix="1" applyNumberFormat="1" applyFont="1" applyProtection="1">
      <protection locked="0"/>
    </xf>
    <xf numFmtId="0" fontId="5" fillId="0" borderId="0" xfId="3" applyFont="1" applyProtection="1">
      <protection locked="0"/>
    </xf>
    <xf numFmtId="165" fontId="4" fillId="0" borderId="0" xfId="1" applyNumberFormat="1" applyFont="1" applyBorder="1" applyProtection="1">
      <protection locked="0"/>
    </xf>
    <xf numFmtId="0" fontId="10" fillId="0" borderId="0" xfId="3" applyFont="1" applyProtection="1">
      <protection locked="0"/>
    </xf>
    <xf numFmtId="165" fontId="11" fillId="0" borderId="0" xfId="1" applyNumberFormat="1" applyFont="1" applyBorder="1" applyProtection="1">
      <protection locked="0"/>
    </xf>
    <xf numFmtId="3" fontId="4" fillId="0" borderId="0" xfId="3" quotePrefix="1" applyNumberFormat="1" applyFont="1" applyProtection="1">
      <protection locked="0"/>
    </xf>
    <xf numFmtId="4" fontId="6" fillId="0" borderId="0" xfId="3" quotePrefix="1" applyNumberFormat="1" applyFont="1" applyProtection="1">
      <protection locked="0"/>
    </xf>
    <xf numFmtId="0" fontId="4" fillId="0" borderId="0" xfId="3" quotePrefix="1" applyFont="1" applyProtection="1">
      <protection locked="0"/>
    </xf>
    <xf numFmtId="0" fontId="18" fillId="0" borderId="0" xfId="0" applyFont="1" applyProtection="1">
      <protection locked="0"/>
    </xf>
    <xf numFmtId="165" fontId="4" fillId="0" borderId="0" xfId="1" applyNumberFormat="1" applyFont="1" applyProtection="1"/>
    <xf numFmtId="165" fontId="4" fillId="0" borderId="19" xfId="1" applyNumberFormat="1" applyFont="1" applyBorder="1" applyProtection="1"/>
    <xf numFmtId="165" fontId="4" fillId="2" borderId="9" xfId="1" applyNumberFormat="1" applyFont="1" applyFill="1" applyBorder="1" applyProtection="1"/>
    <xf numFmtId="165" fontId="4" fillId="2" borderId="21" xfId="1" applyNumberFormat="1" applyFont="1" applyFill="1" applyBorder="1" applyProtection="1"/>
    <xf numFmtId="0" fontId="4" fillId="13" borderId="4" xfId="3" applyFont="1" applyFill="1" applyBorder="1"/>
    <xf numFmtId="165" fontId="4" fillId="13" borderId="14" xfId="1" applyNumberFormat="1" applyFont="1" applyFill="1" applyBorder="1" applyProtection="1"/>
    <xf numFmtId="165" fontId="4" fillId="13" borderId="13" xfId="1" applyNumberFormat="1" applyFont="1" applyFill="1" applyBorder="1" applyProtection="1"/>
    <xf numFmtId="165" fontId="4" fillId="8" borderId="13" xfId="3" applyNumberFormat="1" applyFont="1" applyFill="1" applyBorder="1"/>
    <xf numFmtId="0" fontId="23" fillId="0" borderId="8" xfId="3" applyFont="1" applyBorder="1"/>
    <xf numFmtId="165" fontId="33" fillId="0" borderId="21" xfId="1" applyNumberFormat="1" applyFont="1" applyBorder="1" applyProtection="1"/>
    <xf numFmtId="165" fontId="33" fillId="0" borderId="9" xfId="1" applyNumberFormat="1" applyFont="1" applyBorder="1" applyProtection="1"/>
    <xf numFmtId="165" fontId="33" fillId="0" borderId="14" xfId="1" applyNumberFormat="1" applyFont="1" applyBorder="1" applyProtection="1"/>
    <xf numFmtId="165" fontId="4" fillId="0" borderId="9" xfId="1" applyNumberFormat="1" applyFont="1" applyBorder="1" applyProtection="1"/>
    <xf numFmtId="165" fontId="4" fillId="0" borderId="21" xfId="1" applyNumberFormat="1" applyFont="1" applyBorder="1" applyProtection="1"/>
    <xf numFmtId="165" fontId="33" fillId="0" borderId="13" xfId="1" applyNumberFormat="1" applyFont="1" applyBorder="1" applyProtection="1"/>
    <xf numFmtId="0" fontId="19" fillId="7" borderId="11" xfId="3" applyFont="1" applyFill="1" applyBorder="1"/>
    <xf numFmtId="165" fontId="18" fillId="7" borderId="12" xfId="1" applyNumberFormat="1" applyFont="1" applyFill="1" applyBorder="1" applyProtection="1"/>
    <xf numFmtId="165" fontId="18" fillId="7" borderId="22" xfId="1" applyNumberFormat="1" applyFont="1" applyFill="1" applyBorder="1" applyProtection="1"/>
    <xf numFmtId="165" fontId="11" fillId="0" borderId="14" xfId="1" applyNumberFormat="1" applyFont="1" applyBorder="1" applyProtection="1"/>
    <xf numFmtId="165" fontId="24" fillId="0" borderId="13" xfId="1" applyNumberFormat="1" applyFont="1" applyBorder="1" applyProtection="1"/>
    <xf numFmtId="165" fontId="24" fillId="0" borderId="14" xfId="1" applyNumberFormat="1" applyFont="1" applyBorder="1" applyProtection="1"/>
    <xf numFmtId="165" fontId="4" fillId="0" borderId="0" xfId="1" applyNumberFormat="1" applyFont="1" applyBorder="1" applyProtection="1"/>
    <xf numFmtId="165" fontId="4" fillId="4" borderId="9" xfId="1" applyNumberFormat="1" applyFont="1" applyFill="1" applyBorder="1" applyProtection="1"/>
    <xf numFmtId="165" fontId="4" fillId="0" borderId="0" xfId="1" applyNumberFormat="1" applyFont="1" applyAlignment="1" applyProtection="1">
      <alignment horizontal="left"/>
    </xf>
    <xf numFmtId="0" fontId="4" fillId="0" borderId="0" xfId="3" applyFont="1" applyAlignment="1">
      <alignment horizontal="left"/>
    </xf>
    <xf numFmtId="3" fontId="4" fillId="0" borderId="35" xfId="3" applyNumberFormat="1" applyFont="1" applyBorder="1" applyProtection="1">
      <protection locked="0"/>
    </xf>
    <xf numFmtId="171" fontId="14" fillId="0" borderId="0" xfId="3" applyNumberFormat="1" applyFont="1" applyAlignment="1" applyProtection="1">
      <alignment horizontal="right"/>
      <protection hidden="1"/>
    </xf>
    <xf numFmtId="171" fontId="13" fillId="0" borderId="0" xfId="3" applyNumberFormat="1" applyFont="1" applyAlignment="1" applyProtection="1">
      <alignment horizontal="right"/>
      <protection hidden="1"/>
    </xf>
    <xf numFmtId="3" fontId="4" fillId="0" borderId="34" xfId="3" applyNumberFormat="1" applyFont="1" applyBorder="1"/>
    <xf numFmtId="3" fontId="4" fillId="0" borderId="35" xfId="3" applyNumberFormat="1" applyFont="1" applyBorder="1"/>
    <xf numFmtId="3" fontId="5" fillId="0" borderId="37" xfId="3" applyNumberFormat="1" applyFont="1" applyBorder="1" applyAlignment="1">
      <alignment horizontal="center"/>
    </xf>
    <xf numFmtId="165" fontId="4" fillId="0" borderId="0" xfId="1" applyNumberFormat="1" applyFont="1" applyAlignment="1" applyProtection="1">
      <alignment horizontal="right"/>
      <protection locked="0"/>
    </xf>
    <xf numFmtId="165" fontId="4" fillId="0" borderId="14" xfId="1" applyNumberFormat="1" applyFont="1" applyBorder="1" applyProtection="1">
      <protection locked="0"/>
    </xf>
    <xf numFmtId="10" fontId="13" fillId="0" borderId="0" xfId="2" applyNumberFormat="1" applyFont="1" applyBorder="1"/>
    <xf numFmtId="10" fontId="13" fillId="12" borderId="0" xfId="2" applyNumberFormat="1" applyFont="1" applyFill="1" applyBorder="1"/>
    <xf numFmtId="10" fontId="12" fillId="18" borderId="0" xfId="2" applyNumberFormat="1" applyFont="1" applyFill="1"/>
    <xf numFmtId="10" fontId="12" fillId="0" borderId="0" xfId="2" applyNumberFormat="1" applyFont="1" applyBorder="1" applyAlignment="1">
      <alignment horizontal="right"/>
    </xf>
    <xf numFmtId="10" fontId="32" fillId="0" borderId="0" xfId="2" applyNumberFormat="1" applyFont="1" applyBorder="1" applyAlignment="1">
      <alignment horizontal="right"/>
    </xf>
    <xf numFmtId="10" fontId="12" fillId="13" borderId="0" xfId="2" applyNumberFormat="1" applyFont="1" applyFill="1"/>
    <xf numFmtId="10" fontId="12" fillId="14" borderId="0" xfId="2" applyNumberFormat="1" applyFont="1" applyFill="1"/>
    <xf numFmtId="10" fontId="12" fillId="16" borderId="0" xfId="2" applyNumberFormat="1" applyFont="1" applyFill="1"/>
    <xf numFmtId="10" fontId="12" fillId="17" borderId="0" xfId="2" applyNumberFormat="1" applyFont="1" applyFill="1"/>
    <xf numFmtId="10" fontId="12" fillId="11" borderId="0" xfId="2" applyNumberFormat="1" applyFont="1" applyFill="1"/>
    <xf numFmtId="2" fontId="14" fillId="0" borderId="0" xfId="2" applyNumberFormat="1" applyFont="1" applyFill="1" applyBorder="1" applyAlignment="1" applyProtection="1">
      <alignment horizontal="right"/>
      <protection locked="0"/>
    </xf>
    <xf numFmtId="10" fontId="12" fillId="0" borderId="0" xfId="2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" fontId="14" fillId="0" borderId="0" xfId="2" applyNumberFormat="1" applyFont="1" applyFill="1" applyBorder="1" applyAlignment="1" applyProtection="1">
      <alignment horizontal="right"/>
      <protection locked="0"/>
    </xf>
    <xf numFmtId="1" fontId="14" fillId="0" borderId="0" xfId="2" applyNumberFormat="1" applyFont="1" applyFill="1" applyBorder="1" applyAlignment="1">
      <alignment horizontal="right"/>
    </xf>
    <xf numFmtId="3" fontId="7" fillId="0" borderId="36" xfId="3" applyNumberFormat="1" applyFont="1" applyBorder="1" applyAlignment="1">
      <alignment horizontal="right"/>
    </xf>
    <xf numFmtId="165" fontId="0" fillId="0" borderId="0" xfId="0" applyNumberFormat="1"/>
    <xf numFmtId="164" fontId="4" fillId="0" borderId="0" xfId="3" applyNumberFormat="1" applyFont="1"/>
    <xf numFmtId="165" fontId="24" fillId="0" borderId="38" xfId="1" applyNumberFormat="1" applyFont="1" applyBorder="1" applyProtection="1"/>
    <xf numFmtId="165" fontId="4" fillId="0" borderId="0" xfId="1" applyNumberFormat="1" applyFont="1" applyFill="1" applyBorder="1" applyProtection="1">
      <protection locked="0"/>
    </xf>
    <xf numFmtId="165" fontId="11" fillId="0" borderId="38" xfId="1" applyNumberFormat="1" applyFont="1" applyBorder="1" applyProtection="1"/>
    <xf numFmtId="0" fontId="7" fillId="0" borderId="0" xfId="3" applyFont="1" applyProtection="1">
      <protection locked="0"/>
    </xf>
    <xf numFmtId="0" fontId="24" fillId="0" borderId="0" xfId="3" applyFont="1"/>
    <xf numFmtId="165" fontId="24" fillId="0" borderId="0" xfId="1" applyNumberFormat="1" applyFont="1" applyFill="1" applyBorder="1" applyProtection="1"/>
    <xf numFmtId="165" fontId="7" fillId="0" borderId="0" xfId="1" applyNumberFormat="1" applyFont="1" applyFill="1" applyBorder="1" applyProtection="1">
      <protection locked="0"/>
    </xf>
    <xf numFmtId="9" fontId="13" fillId="0" borderId="0" xfId="2" applyFont="1" applyBorder="1"/>
    <xf numFmtId="0" fontId="54" fillId="0" borderId="0" xfId="0" applyFont="1"/>
    <xf numFmtId="43" fontId="0" fillId="0" borderId="0" xfId="0" applyNumberFormat="1"/>
    <xf numFmtId="0" fontId="54" fillId="0" borderId="23" xfId="0" quotePrefix="1" applyFont="1" applyBorder="1"/>
    <xf numFmtId="0" fontId="55" fillId="0" borderId="1" xfId="3" applyFont="1" applyBorder="1"/>
    <xf numFmtId="172" fontId="13" fillId="0" borderId="0" xfId="18" applyNumberFormat="1" applyFont="1" applyBorder="1"/>
    <xf numFmtId="172" fontId="13" fillId="0" borderId="0" xfId="18" applyNumberFormat="1" applyFont="1" applyFill="1" applyBorder="1"/>
    <xf numFmtId="172" fontId="0" fillId="0" borderId="0" xfId="18" applyNumberFormat="1" applyFont="1"/>
    <xf numFmtId="0" fontId="34" fillId="0" borderId="0" xfId="15"/>
    <xf numFmtId="0" fontId="56" fillId="0" borderId="0" xfId="0" applyFont="1" applyAlignment="1">
      <alignment horizontal="right"/>
    </xf>
    <xf numFmtId="0" fontId="3" fillId="0" borderId="8" xfId="3" applyFont="1" applyBorder="1"/>
    <xf numFmtId="44" fontId="0" fillId="0" borderId="0" xfId="18" applyFont="1"/>
    <xf numFmtId="0" fontId="8" fillId="4" borderId="16" xfId="16" applyFont="1" applyFill="1" applyBorder="1" applyAlignment="1">
      <alignment horizontal="center" wrapText="1"/>
    </xf>
    <xf numFmtId="0" fontId="8" fillId="4" borderId="17" xfId="16" applyFont="1" applyFill="1" applyBorder="1" applyAlignment="1">
      <alignment horizontal="center" wrapText="1"/>
    </xf>
    <xf numFmtId="0" fontId="8" fillId="4" borderId="7" xfId="16" applyFont="1" applyFill="1" applyBorder="1" applyAlignment="1">
      <alignment horizontal="center" wrapText="1"/>
    </xf>
  </cellXfs>
  <cellStyles count="19">
    <cellStyle name="Comma" xfId="1" builtinId="3"/>
    <cellStyle name="Comma 2" xfId="5" xr:uid="{00000000-0005-0000-0000-000001000000}"/>
    <cellStyle name="Comma 2 2" xfId="11" xr:uid="{00000000-0005-0000-0000-000002000000}"/>
    <cellStyle name="Comma 3" xfId="9" xr:uid="{00000000-0005-0000-0000-000003000000}"/>
    <cellStyle name="Comma 4" xfId="14" xr:uid="{00000000-0005-0000-0000-000004000000}"/>
    <cellStyle name="Currency" xfId="18" builtinId="4"/>
    <cellStyle name="Currency 2 2" xfId="17" xr:uid="{00000000-0005-0000-0000-000005000000}"/>
    <cellStyle name="Hyperlink" xfId="15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2 2" xfId="16" xr:uid="{00000000-0005-0000-0000-00000A000000}"/>
    <cellStyle name="Normal 3" xfId="12" xr:uid="{00000000-0005-0000-0000-00000B000000}"/>
    <cellStyle name="Normal 3 2" xfId="4" xr:uid="{00000000-0005-0000-0000-00000C000000}"/>
    <cellStyle name="Normal 3 3" xfId="6" xr:uid="{00000000-0005-0000-0000-00000D000000}"/>
    <cellStyle name="Normal 3 4" xfId="7" xr:uid="{00000000-0005-0000-0000-00000E000000}"/>
    <cellStyle name="Normal 3 5" xfId="13" xr:uid="{00000000-0005-0000-0000-00000F000000}"/>
    <cellStyle name="Percent" xfId="2" builtinId="5"/>
    <cellStyle name="Percent 2" xfId="8" xr:uid="{00000000-0005-0000-0000-000011000000}"/>
  </cellStyles>
  <dxfs count="7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  <dxf>
      <fill>
        <patternFill>
          <bgColor rgb="FFC4E59F"/>
        </patternFill>
      </fill>
    </dxf>
    <dxf>
      <fill>
        <patternFill>
          <bgColor rgb="FFC4E59F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iceline.com/?tab=flights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gsa.gov/travel/plan-book/per-diem-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</xdr:row>
      <xdr:rowOff>9525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29075" y="266700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632236</xdr:colOff>
      <xdr:row>15</xdr:row>
      <xdr:rowOff>107717</xdr:rowOff>
    </xdr:from>
    <xdr:ext cx="4220643" cy="150797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9386125">
          <a:off x="632236" y="2364409"/>
          <a:ext cx="4220643" cy="1507977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rgbClr val="C00000">
                  <a:alpha val="10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9600" b="0" cap="none" spc="0" baseline="0">
            <a:ln w="0"/>
            <a:solidFill>
              <a:srgbClr val="C00000">
                <a:alpha val="10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21980</xdr:colOff>
      <xdr:row>91</xdr:row>
      <xdr:rowOff>124558</xdr:rowOff>
    </xdr:from>
    <xdr:ext cx="5121520" cy="4903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80" y="13642731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549520</xdr:colOff>
      <xdr:row>63</xdr:row>
      <xdr:rowOff>14654</xdr:rowOff>
    </xdr:from>
    <xdr:ext cx="5121520" cy="4903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9520" y="9429750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315058</xdr:colOff>
      <xdr:row>11</xdr:row>
      <xdr:rowOff>21981</xdr:rowOff>
    </xdr:from>
    <xdr:ext cx="2202655" cy="8002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42443" y="1699846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578827</xdr:colOff>
      <xdr:row>63</xdr:row>
      <xdr:rowOff>29308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8827" y="9444404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381000</xdr:colOff>
      <xdr:row>11</xdr:row>
      <xdr:rowOff>21982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08385" y="1699847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351692</xdr:colOff>
      <xdr:row>15</xdr:row>
      <xdr:rowOff>0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79077" y="2264019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322385</xdr:colOff>
      <xdr:row>11</xdr:row>
      <xdr:rowOff>87923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549770" y="1765788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483577</xdr:colOff>
      <xdr:row>11</xdr:row>
      <xdr:rowOff>102578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10962" y="1780443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5121520" cy="4903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9708173"/>
          <a:ext cx="5121520" cy="490327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rgbClr val="C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is a draft provided for planning purposes and does not constitute a binding commitment on behalf of Cornell University.  If a firm offer is desired, Cornell University’s Office of Sponsored Programs will provide a formal proposal upon request.</a:t>
          </a:r>
          <a:endParaRPr lang="en-US" sz="900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351692</xdr:colOff>
      <xdr:row>11</xdr:row>
      <xdr:rowOff>87923</xdr:rowOff>
    </xdr:from>
    <xdr:ext cx="2202655" cy="80021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579077" y="1765788"/>
          <a:ext cx="2202655" cy="8002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0">
              <a:ln w="0"/>
              <a:solidFill>
                <a:srgbClr val="C00000">
                  <a:alpha val="16000"/>
                </a:srgb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DRAFT</a:t>
          </a:r>
          <a:endParaRPr lang="en-US" sz="4800" b="0" cap="none" spc="0" baseline="0">
            <a:ln w="0"/>
            <a:solidFill>
              <a:srgbClr val="C00000">
                <a:alpha val="16000"/>
              </a:srgb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247649</xdr:colOff>
      <xdr:row>0</xdr:row>
      <xdr:rowOff>152400</xdr:rowOff>
    </xdr:from>
    <xdr:ext cx="5343525" cy="26456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10699" y="152400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GSA Per Diem (domestic):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https://www.gsa.gov/travel/plan-book/per-diem-rates</a:t>
          </a:r>
          <a:endParaRPr lang="en-US" sz="1100" u="sng">
            <a:solidFill>
              <a:srgbClr val="0070C0"/>
            </a:solidFill>
          </a:endParaRPr>
        </a:p>
      </xdr:txBody>
    </xdr:sp>
    <xdr:clientData/>
  </xdr:oneCellAnchor>
  <xdr:oneCellAnchor>
    <xdr:from>
      <xdr:col>15</xdr:col>
      <xdr:colOff>247651</xdr:colOff>
      <xdr:row>1</xdr:row>
      <xdr:rowOff>238125</xdr:rowOff>
    </xdr:from>
    <xdr:ext cx="5342332" cy="264560"/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9410701" y="428625"/>
          <a:ext cx="5342332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U.S. Dept of State (foreign per diem): </a:t>
          </a:r>
          <a:r>
            <a:rPr lang="en-US" sz="11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https://aoprals.state.gov/web920/per_diem.asp</a:t>
          </a:r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15</xdr:col>
      <xdr:colOff>247649</xdr:colOff>
      <xdr:row>2</xdr:row>
      <xdr:rowOff>123825</xdr:rowOff>
    </xdr:from>
    <xdr:ext cx="5343525" cy="264560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9410699" y="695325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Priceline.com (airfare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quotes):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https://www.priceline.com/?tab=flights</a:t>
          </a:r>
          <a:endParaRPr lang="en-US" u="sng">
            <a:solidFill>
              <a:srgbClr val="0070C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entemployment.cornell.edu/jobs/wages-and-classifications/student-wage-scale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grants.nih.gov/grants/guide/notice-files/NOT-OD-23-076.html" TargetMode="External"/><Relationship Id="rId1" Type="http://schemas.openxmlformats.org/officeDocument/2006/relationships/hyperlink" Target="https://www.dfa.cornell.edu/sites/default/files/dhhsrateagreement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D505"/>
  <sheetViews>
    <sheetView tabSelected="1" zoomScale="80" zoomScaleNormal="80" workbookViewId="0"/>
  </sheetViews>
  <sheetFormatPr defaultRowHeight="14.5" x14ac:dyDescent="0.35"/>
  <cols>
    <col min="1" max="1" width="43.1796875" bestFit="1" customWidth="1"/>
    <col min="2" max="9" width="10.26953125" customWidth="1"/>
    <col min="10" max="12" width="11" customWidth="1"/>
    <col min="13" max="13" width="39.7265625" customWidth="1"/>
    <col min="14" max="14" width="14.54296875" customWidth="1"/>
    <col min="15" max="15" width="29.26953125" customWidth="1"/>
    <col min="16" max="17" width="14.54296875" customWidth="1"/>
    <col min="18" max="18" width="34.1796875" customWidth="1"/>
    <col min="19" max="20" width="14.54296875" customWidth="1"/>
    <col min="21" max="21" width="14.1796875" customWidth="1"/>
    <col min="22" max="22" width="13.1796875" customWidth="1"/>
    <col min="23" max="23" width="13.7265625" customWidth="1"/>
    <col min="24" max="28" width="14.453125" bestFit="1" customWidth="1"/>
    <col min="29" max="29" width="15" customWidth="1"/>
    <col min="30" max="41" width="10.81640625" bestFit="1" customWidth="1"/>
    <col min="42" max="42" width="11.453125" customWidth="1"/>
  </cols>
  <sheetData>
    <row r="1" spans="1:56" ht="20" x14ac:dyDescent="0.4">
      <c r="A1" s="40" t="s">
        <v>49</v>
      </c>
      <c r="M1" s="40" t="s">
        <v>54</v>
      </c>
      <c r="N1" s="340" t="s">
        <v>167</v>
      </c>
      <c r="O1" s="23"/>
      <c r="P1" s="23"/>
      <c r="Q1" s="23"/>
      <c r="R1" s="23"/>
      <c r="S1" s="23"/>
      <c r="T1" s="23"/>
      <c r="AQ1" s="23"/>
      <c r="AR1" s="23"/>
      <c r="AS1" s="23"/>
      <c r="AT1" s="23"/>
      <c r="AU1" s="23"/>
    </row>
    <row r="2" spans="1:56" x14ac:dyDescent="0.35">
      <c r="M2" s="33" t="s">
        <v>33</v>
      </c>
      <c r="N2" s="112" t="s">
        <v>211</v>
      </c>
      <c r="O2" s="59" t="str">
        <f>CONCATENATE("FY",RIGHT(N2,4)+"1")</f>
        <v>FY2024</v>
      </c>
      <c r="P2" s="59" t="str">
        <f t="shared" ref="P2:U2" si="0">CONCATENATE("FY",RIGHT(O2,4)+"1")</f>
        <v>FY2025</v>
      </c>
      <c r="Q2" s="59" t="str">
        <f t="shared" si="0"/>
        <v>FY2026</v>
      </c>
      <c r="R2" s="59" t="str">
        <f t="shared" si="0"/>
        <v>FY2027</v>
      </c>
      <c r="S2" s="59" t="str">
        <f t="shared" si="0"/>
        <v>FY2028</v>
      </c>
      <c r="T2" s="59" t="str">
        <f t="shared" si="0"/>
        <v>FY2029</v>
      </c>
      <c r="U2" s="59" t="str">
        <f t="shared" si="0"/>
        <v>FY2030</v>
      </c>
      <c r="V2" s="59" t="str">
        <f t="shared" ref="V2" si="1">CONCATENATE("FY",RIGHT(U2,4)+"1")</f>
        <v>FY2031</v>
      </c>
      <c r="W2" s="59" t="str">
        <f t="shared" ref="W2" si="2">CONCATENATE("FY",RIGHT(V2,4)+"1")</f>
        <v>FY2032</v>
      </c>
      <c r="X2" s="59" t="str">
        <f t="shared" ref="X2:AB2" si="3">CONCATENATE("FY",RIGHT(W2,4)+"1")</f>
        <v>FY2033</v>
      </c>
      <c r="Y2" s="59" t="str">
        <f t="shared" si="3"/>
        <v>FY2034</v>
      </c>
      <c r="Z2" s="59" t="str">
        <f t="shared" si="3"/>
        <v>FY2035</v>
      </c>
      <c r="AA2" s="59" t="str">
        <f t="shared" si="3"/>
        <v>FY2036</v>
      </c>
      <c r="AB2" s="59" t="str">
        <f t="shared" si="3"/>
        <v>FY2037</v>
      </c>
      <c r="AC2" s="426" t="s">
        <v>89</v>
      </c>
      <c r="AD2" s="57">
        <f>MONTH(DATE(YEAR(B5),MONTH(B5),1))</f>
        <v>7</v>
      </c>
      <c r="AE2" s="23"/>
      <c r="AF2" s="23"/>
      <c r="AG2" s="23"/>
      <c r="AH2" s="23"/>
      <c r="AI2" s="23"/>
      <c r="AJ2" s="23"/>
      <c r="AR2" s="23" t="str">
        <f ca="1">CELL("filename",'Lead Budget'!$A$1)</f>
        <v>W:\Intake\######_LastName_YYYY_Sponsor_Program_w_LEAD\01_Budget_Drafts\[######_Lastname_Budget_v1.xlsx]Lead Budget</v>
      </c>
      <c r="BD2" t="s">
        <v>136</v>
      </c>
    </row>
    <row r="3" spans="1:56" x14ac:dyDescent="0.35">
      <c r="A3" s="23" t="s">
        <v>135</v>
      </c>
      <c r="B3" s="111" t="s">
        <v>137</v>
      </c>
      <c r="J3" s="111"/>
      <c r="K3" s="111"/>
      <c r="M3" s="25" t="s">
        <v>121</v>
      </c>
      <c r="N3" s="392">
        <v>0.68300000000000005</v>
      </c>
      <c r="O3" s="392">
        <v>0.63</v>
      </c>
      <c r="P3" s="392">
        <v>0.63</v>
      </c>
      <c r="Q3" s="392">
        <v>0.63</v>
      </c>
      <c r="R3" s="392">
        <v>0.65</v>
      </c>
      <c r="S3" s="392">
        <v>0.65</v>
      </c>
      <c r="T3" s="392">
        <v>0.65</v>
      </c>
      <c r="U3" s="392">
        <v>0.65</v>
      </c>
      <c r="V3" s="392">
        <v>0.65</v>
      </c>
      <c r="W3" s="392">
        <v>0.65</v>
      </c>
      <c r="X3" s="392">
        <v>0.65</v>
      </c>
      <c r="Y3" s="392">
        <v>0.65</v>
      </c>
      <c r="Z3" s="392">
        <v>0.65</v>
      </c>
      <c r="AA3" s="392">
        <v>0.65</v>
      </c>
      <c r="AB3" s="392">
        <v>0.65</v>
      </c>
      <c r="AC3" s="426" t="s">
        <v>68</v>
      </c>
      <c r="AD3" s="57">
        <f>YEAR(DATE(YEAR(B5),MONTH(B5)+6,1))</f>
        <v>2024</v>
      </c>
      <c r="AE3" s="103" t="s">
        <v>1</v>
      </c>
      <c r="AF3" s="103" t="s">
        <v>2</v>
      </c>
      <c r="AG3" s="103" t="s">
        <v>3</v>
      </c>
      <c r="AH3" s="103" t="s">
        <v>39</v>
      </c>
      <c r="AI3" s="103" t="s">
        <v>45</v>
      </c>
      <c r="AJ3" s="103" t="s">
        <v>185</v>
      </c>
      <c r="AK3" s="103" t="s">
        <v>186</v>
      </c>
      <c r="AL3" s="103" t="s">
        <v>187</v>
      </c>
      <c r="AM3" s="103" t="s">
        <v>188</v>
      </c>
      <c r="AN3" s="103" t="s">
        <v>189</v>
      </c>
      <c r="AO3" s="103" t="s">
        <v>190</v>
      </c>
      <c r="AP3" s="103" t="s">
        <v>191</v>
      </c>
      <c r="AQ3" s="103"/>
      <c r="AR3" s="23" t="str">
        <f ca="1">CELL("filename",'Co-PI Budget (1)'!$A$1)</f>
        <v>W:\Intake\######_LastName_YYYY_Sponsor_Program_w_LEAD\01_Budget_Drafts\[######_Lastname_Budget_v1.xlsx]Co-PI Budget (1)</v>
      </c>
      <c r="BD3" t="s">
        <v>137</v>
      </c>
    </row>
    <row r="4" spans="1:56" x14ac:dyDescent="0.35">
      <c r="A4" s="23" t="s">
        <v>48</v>
      </c>
      <c r="B4" s="111"/>
      <c r="C4" s="23"/>
      <c r="J4" s="111"/>
      <c r="K4" s="111"/>
      <c r="M4" s="25" t="s">
        <v>122</v>
      </c>
      <c r="N4" s="392">
        <v>0.68769999999999998</v>
      </c>
      <c r="O4" s="392">
        <v>0.67</v>
      </c>
      <c r="P4" s="392">
        <v>0.67</v>
      </c>
      <c r="Q4" s="392">
        <v>0.67700000000000005</v>
      </c>
      <c r="R4" s="392">
        <v>0.72</v>
      </c>
      <c r="S4" s="392">
        <v>0.72</v>
      </c>
      <c r="T4" s="392">
        <v>0.72</v>
      </c>
      <c r="U4" s="392">
        <v>0.72</v>
      </c>
      <c r="V4" s="392">
        <v>0.72</v>
      </c>
      <c r="W4" s="392">
        <v>0.72</v>
      </c>
      <c r="X4" s="392">
        <v>0.72</v>
      </c>
      <c r="Y4" s="392">
        <v>0.72</v>
      </c>
      <c r="Z4" s="392">
        <v>0.72</v>
      </c>
      <c r="AA4" s="392">
        <v>0.72</v>
      </c>
      <c r="AB4" s="392">
        <v>0.72</v>
      </c>
      <c r="AC4" s="23"/>
      <c r="AD4" s="103" t="s">
        <v>29</v>
      </c>
      <c r="AE4" s="24" t="str">
        <f>CONCATENATE("FY",$AD$3)</f>
        <v>FY2024</v>
      </c>
      <c r="AF4" s="24" t="str">
        <f>CONCATENATE("FY",$AD$3+1)</f>
        <v>FY2025</v>
      </c>
      <c r="AG4" s="24" t="str">
        <f>CONCATENATE("FY",$AD$3+2)</f>
        <v>FY2026</v>
      </c>
      <c r="AH4" s="24" t="str">
        <f>CONCATENATE("FY",$AD$3+3)</f>
        <v>FY2027</v>
      </c>
      <c r="AI4" s="24" t="str">
        <f>CONCATENATE("FY",$AD$3+4)</f>
        <v>FY2028</v>
      </c>
      <c r="AJ4" s="24" t="str">
        <f>CONCATENATE("FY",$AD$3+5)</f>
        <v>FY2029</v>
      </c>
      <c r="AK4" s="24" t="str">
        <f>CONCATENATE("FY",$AD$3+6)</f>
        <v>FY2030</v>
      </c>
      <c r="AL4" s="24" t="str">
        <f>CONCATENATE("FY",$AD$3+7)</f>
        <v>FY2031</v>
      </c>
      <c r="AM4" s="24" t="str">
        <f>CONCATENATE("FY",$AD$3+8)</f>
        <v>FY2032</v>
      </c>
      <c r="AN4" s="24" t="str">
        <f>CONCATENATE("FY",$AD$3+9)</f>
        <v>FY2033</v>
      </c>
      <c r="AO4" s="24" t="str">
        <f>CONCATENATE("FY",$AD$3+10)</f>
        <v>FY2034</v>
      </c>
      <c r="AP4" s="24" t="str">
        <f>CONCATENATE("FY",$AD$3+11)</f>
        <v>FY2035</v>
      </c>
      <c r="AQ4" s="24"/>
      <c r="AR4" s="23" t="str">
        <f ca="1">CELL("filename",'Co-PI Budget (2)'!$A$1)</f>
        <v>W:\Intake\######_LastName_YYYY_Sponsor_Program_w_LEAD\01_Budget_Drafts\[######_Lastname_Budget_v1.xlsx]Co-PI Budget (2)</v>
      </c>
      <c r="BD4" t="s">
        <v>138</v>
      </c>
    </row>
    <row r="5" spans="1:56" x14ac:dyDescent="0.35">
      <c r="A5" s="23" t="s">
        <v>51</v>
      </c>
      <c r="B5" s="190">
        <v>45108</v>
      </c>
      <c r="J5" s="111"/>
      <c r="K5" s="111"/>
      <c r="M5" s="265" t="s">
        <v>123</v>
      </c>
      <c r="N5" s="393">
        <v>0.37</v>
      </c>
      <c r="O5" s="393">
        <v>0.37</v>
      </c>
      <c r="P5" s="393">
        <v>0.37</v>
      </c>
      <c r="Q5" s="393">
        <v>0.37</v>
      </c>
      <c r="R5" s="393">
        <v>0.37</v>
      </c>
      <c r="S5" s="393">
        <v>0.37</v>
      </c>
      <c r="T5" s="393">
        <v>0.37</v>
      </c>
      <c r="U5" s="393">
        <v>0.37</v>
      </c>
      <c r="V5" s="393">
        <v>0.37</v>
      </c>
      <c r="W5" s="393">
        <v>0.37</v>
      </c>
      <c r="X5" s="393">
        <v>0.37</v>
      </c>
      <c r="Y5" s="393">
        <v>0.37</v>
      </c>
      <c r="Z5" s="393">
        <v>0.37</v>
      </c>
      <c r="AA5" s="393">
        <v>0.37</v>
      </c>
      <c r="AB5" s="393">
        <v>0.37</v>
      </c>
      <c r="AC5" s="23"/>
      <c r="AD5" s="103" t="s">
        <v>65</v>
      </c>
      <c r="AE5" s="24" t="str">
        <f>IF($P$35&lt;12,CONCATENATE("FY",$AD$3+1),CONCATENATE("FY",$AD$3))</f>
        <v>FY2024</v>
      </c>
      <c r="AF5" s="24" t="str">
        <f>IF($P$35&lt;12,CONCATENATE("FY",$AD$3+2),CONCATENATE("FY",$AD$3+1))</f>
        <v>FY2025</v>
      </c>
      <c r="AG5" s="24" t="str">
        <f>IF($P$35&lt;12,CONCATENATE("FY",$AD$3+3),CONCATENATE("FY",$AD$3+2))</f>
        <v>FY2026</v>
      </c>
      <c r="AH5" s="24" t="str">
        <f>IF($P$35&lt;12,CONCATENATE("FY",$AD$3+4),CONCATENATE("FY",$AD$3+3))</f>
        <v>FY2027</v>
      </c>
      <c r="AI5" s="24" t="str">
        <f>IF($P$35&lt;12,CONCATENATE("FY",$AD$3+5),CONCATENATE("FY",$AD$3+4))</f>
        <v>FY2028</v>
      </c>
      <c r="AJ5" s="24" t="str">
        <f>IF($P$35&lt;12,CONCATENATE("FY",$AD$3+6),CONCATENATE("FY",$AD$3+5))</f>
        <v>FY2029</v>
      </c>
      <c r="AK5" s="24" t="str">
        <f>IF($P$35&lt;12,CONCATENATE("FY",$AD$3+7),CONCATENATE("FY",$AD$3+6))</f>
        <v>FY2030</v>
      </c>
      <c r="AL5" s="24" t="str">
        <f>IF($P$35&lt;12,CONCATENATE("FY",$AD$3+8),CONCATENATE("FY",$AD$3+7))</f>
        <v>FY2031</v>
      </c>
      <c r="AM5" s="24" t="str">
        <f>IF($P$35&lt;12,CONCATENATE("FY",$AD$3+9),CONCATENATE("FY",$AD$3+8))</f>
        <v>FY2032</v>
      </c>
      <c r="AN5" s="24" t="str">
        <f>IF($P$35&lt;12,CONCATENATE("FY",$AD$3+10),CONCATENATE("FY",$AD$3+9))</f>
        <v>FY2033</v>
      </c>
      <c r="AO5" s="24" t="str">
        <f>IF($P$35&lt;12,CONCATENATE("FY",$AD$3+11),CONCATENATE("FY",$AD$3+10))</f>
        <v>FY2034</v>
      </c>
      <c r="AP5" s="24" t="str">
        <f>IF($P$35&lt;12,CONCATENATE("FY",$AD$3+12),CONCATENATE("FY",$AD$3+11))</f>
        <v>FY2035</v>
      </c>
      <c r="AQ5" s="24"/>
      <c r="AR5" s="23" t="str">
        <f ca="1">CELL("filename",'Co-PI Budget (3)'!$A$1)</f>
        <v>W:\Intake\######_LastName_YYYY_Sponsor_Program_w_LEAD\01_Budget_Drafts\[######_Lastname_Budget_v1.xlsx]Co-PI Budget (3)</v>
      </c>
    </row>
    <row r="6" spans="1:56" x14ac:dyDescent="0.35">
      <c r="A6" s="23" t="s">
        <v>96</v>
      </c>
      <c r="B6" s="111" t="s">
        <v>90</v>
      </c>
      <c r="G6" s="116"/>
      <c r="M6" s="25" t="s">
        <v>124</v>
      </c>
      <c r="N6" s="392">
        <v>0.56999999999999995</v>
      </c>
      <c r="O6" s="392">
        <v>0.56999999999999995</v>
      </c>
      <c r="P6" s="392">
        <v>0.56999999999999995</v>
      </c>
      <c r="Q6" s="392">
        <v>0.56999999999999995</v>
      </c>
      <c r="R6" s="392">
        <v>0.56999999999999995</v>
      </c>
      <c r="S6" s="392">
        <v>0.56999999999999995</v>
      </c>
      <c r="T6" s="392">
        <v>0.56999999999999995</v>
      </c>
      <c r="U6" s="392">
        <v>0.56999999999999995</v>
      </c>
      <c r="V6" s="392">
        <v>0.56999999999999995</v>
      </c>
      <c r="W6" s="392">
        <v>0.56999999999999995</v>
      </c>
      <c r="X6" s="392">
        <v>0.56999999999999995</v>
      </c>
      <c r="Y6" s="392">
        <v>0.56999999999999995</v>
      </c>
      <c r="Z6" s="392">
        <v>0.56999999999999995</v>
      </c>
      <c r="AA6" s="392">
        <v>0.56999999999999995</v>
      </c>
      <c r="AB6" s="392">
        <v>0.56999999999999995</v>
      </c>
      <c r="AC6" s="23"/>
      <c r="AD6" s="103" t="s">
        <v>84</v>
      </c>
      <c r="AE6" s="122">
        <f>+B5</f>
        <v>45108</v>
      </c>
      <c r="AF6" s="122">
        <f>+AE7+1</f>
        <v>45474</v>
      </c>
      <c r="AG6" s="122">
        <f>+AF7+1</f>
        <v>45839</v>
      </c>
      <c r="AH6" s="122">
        <f>+AG7+1</f>
        <v>46204</v>
      </c>
      <c r="AI6" s="122">
        <f>+AH7+1</f>
        <v>46569</v>
      </c>
      <c r="AJ6" s="122">
        <f t="shared" ref="AJ6:AK6" si="4">+AI7+1</f>
        <v>46935</v>
      </c>
      <c r="AK6" s="122">
        <f t="shared" si="4"/>
        <v>47300</v>
      </c>
      <c r="AL6" s="122">
        <f t="shared" ref="AL6" si="5">+AK7+1</f>
        <v>47665</v>
      </c>
      <c r="AM6" s="122">
        <f t="shared" ref="AM6" si="6">+AL7+1</f>
        <v>48030</v>
      </c>
      <c r="AN6" s="122">
        <f t="shared" ref="AN6:AP6" si="7">+AM7+1</f>
        <v>48396</v>
      </c>
      <c r="AO6" s="122">
        <f t="shared" si="7"/>
        <v>48761</v>
      </c>
      <c r="AP6" s="122">
        <f t="shared" si="7"/>
        <v>49126</v>
      </c>
      <c r="AR6" s="23" t="str">
        <f ca="1">CELL("filename",'Co-PI Budget (4)'!$A$1)</f>
        <v>W:\Intake\######_LastName_YYYY_Sponsor_Program_w_LEAD\01_Budget_Drafts\[######_Lastname_Budget_v1.xlsx]Co-PI Budget (4)</v>
      </c>
    </row>
    <row r="7" spans="1:56" x14ac:dyDescent="0.35">
      <c r="A7" s="23" t="s">
        <v>133</v>
      </c>
      <c r="B7" s="111" t="s">
        <v>129</v>
      </c>
      <c r="G7" s="116"/>
      <c r="M7" s="25" t="s">
        <v>81</v>
      </c>
      <c r="N7" s="392">
        <v>0.64</v>
      </c>
      <c r="O7" s="392">
        <v>0.64</v>
      </c>
      <c r="P7" s="392">
        <v>0.64</v>
      </c>
      <c r="Q7" s="392">
        <v>0.64</v>
      </c>
      <c r="R7" s="392">
        <v>0.64</v>
      </c>
      <c r="S7" s="392">
        <v>0.64</v>
      </c>
      <c r="T7" s="392">
        <v>0.64</v>
      </c>
      <c r="U7" s="392">
        <v>0.64</v>
      </c>
      <c r="V7" s="392">
        <v>0.64</v>
      </c>
      <c r="W7" s="392">
        <v>0.64</v>
      </c>
      <c r="X7" s="392">
        <v>0.64</v>
      </c>
      <c r="Y7" s="392">
        <v>0.64</v>
      </c>
      <c r="Z7" s="392">
        <v>0.64</v>
      </c>
      <c r="AA7" s="392">
        <v>0.64</v>
      </c>
      <c r="AB7" s="392">
        <v>0.64</v>
      </c>
      <c r="AC7" s="23"/>
      <c r="AD7" s="103" t="s">
        <v>85</v>
      </c>
      <c r="AE7" s="122">
        <f>DATE(YEAR(AE6), MONTH(AE6) + 12, DAY(AE6))-1</f>
        <v>45473</v>
      </c>
      <c r="AF7" s="122">
        <f>DATE(YEAR(AF6), MONTH(AF6) + 12, DAY(AF6))-1</f>
        <v>45838</v>
      </c>
      <c r="AG7" s="122">
        <f>DATE(YEAR(AG6), MONTH(AG6) + 12, DAY(AG6))-1</f>
        <v>46203</v>
      </c>
      <c r="AH7" s="122">
        <f>DATE(YEAR(AH6), MONTH(AH6) + 12, DAY(AH6))-1</f>
        <v>46568</v>
      </c>
      <c r="AI7" s="122">
        <f>DATE(YEAR(AI6), MONTH(AI6) + 12, DAY(AI6))-1</f>
        <v>46934</v>
      </c>
      <c r="AJ7" s="122">
        <f t="shared" ref="AJ7:AK7" si="8">DATE(YEAR(AJ6), MONTH(AJ6) + 12, DAY(AJ6))-1</f>
        <v>47299</v>
      </c>
      <c r="AK7" s="122">
        <f t="shared" si="8"/>
        <v>47664</v>
      </c>
      <c r="AL7" s="122">
        <f t="shared" ref="AL7:AN7" si="9">DATE(YEAR(AL6), MONTH(AL6) + 12, DAY(AL6))-1</f>
        <v>48029</v>
      </c>
      <c r="AM7" s="122">
        <f t="shared" si="9"/>
        <v>48395</v>
      </c>
      <c r="AN7" s="122">
        <f t="shared" si="9"/>
        <v>48760</v>
      </c>
      <c r="AO7" s="122">
        <f t="shared" ref="AO7:AP7" si="10">DATE(YEAR(AO6), MONTH(AO6) + 12, DAY(AO6))-1</f>
        <v>49125</v>
      </c>
      <c r="AP7" s="122">
        <f t="shared" si="10"/>
        <v>49490</v>
      </c>
      <c r="AR7" s="23" t="str">
        <f ca="1">CELL("filename",'Co-PI Budget (5)'!$A$1)</f>
        <v>W:\Intake\######_LastName_YYYY_Sponsor_Program_w_LEAD\01_Budget_Drafts\[######_Lastname_Budget_v1.xlsx]Co-PI Budget (5)</v>
      </c>
    </row>
    <row r="8" spans="1:56" x14ac:dyDescent="0.35">
      <c r="A8" s="23" t="s">
        <v>99</v>
      </c>
      <c r="B8" s="111" t="s">
        <v>91</v>
      </c>
      <c r="H8" s="116"/>
      <c r="M8" s="25" t="s">
        <v>130</v>
      </c>
      <c r="N8" s="392">
        <v>0.37</v>
      </c>
      <c r="O8" s="392">
        <v>0.37</v>
      </c>
      <c r="P8" s="392">
        <v>0.37</v>
      </c>
      <c r="Q8" s="392">
        <v>0.37</v>
      </c>
      <c r="R8" s="392">
        <v>0.37</v>
      </c>
      <c r="S8" s="392">
        <v>0.37</v>
      </c>
      <c r="T8" s="392">
        <v>0.37</v>
      </c>
      <c r="U8" s="392">
        <v>0.37</v>
      </c>
      <c r="V8" s="392">
        <v>0.37</v>
      </c>
      <c r="W8" s="392">
        <v>0.37</v>
      </c>
      <c r="X8" s="392">
        <v>0.37</v>
      </c>
      <c r="Y8" s="392">
        <v>0.37</v>
      </c>
      <c r="Z8" s="392">
        <v>0.37</v>
      </c>
      <c r="AA8" s="392">
        <v>0.37</v>
      </c>
      <c r="AB8" s="392">
        <v>0.37</v>
      </c>
      <c r="AC8" s="23"/>
      <c r="AD8" s="103" t="s">
        <v>86</v>
      </c>
      <c r="AE8" s="24" t="str">
        <f>CONCATENATE(YEAR(DATE(YEAR(AE6),MONTH(AE6),1)),"-",YEAR(DATE(YEAR(AE7),MONTH(AE7),1)))</f>
        <v>2023-2024</v>
      </c>
      <c r="AF8" s="24" t="str">
        <f>CONCATENATE(YEAR(DATE(YEAR(AF6),MONTH(AF6),1)),"-",YEAR(DATE(YEAR(AF7),MONTH(AF7),1)))</f>
        <v>2024-2025</v>
      </c>
      <c r="AG8" s="24" t="str">
        <f>CONCATENATE(YEAR(DATE(YEAR(AG6),MONTH(AG6),1)),"-",YEAR(DATE(YEAR(AG7),MONTH(AG7),1)))</f>
        <v>2025-2026</v>
      </c>
      <c r="AH8" s="24" t="str">
        <f>CONCATENATE(YEAR(DATE(YEAR(AH6),MONTH(AH6),1)),"-",YEAR(DATE(YEAR(AH7),MONTH(AH7),1)))</f>
        <v>2026-2027</v>
      </c>
      <c r="AI8" s="24" t="str">
        <f>CONCATENATE(YEAR(DATE(YEAR(AI6),MONTH(AI6),1)),"-",YEAR(DATE(YEAR(AI7),MONTH(AI7),1)))</f>
        <v>2027-2028</v>
      </c>
      <c r="AJ8" s="24" t="str">
        <f t="shared" ref="AJ8:AK8" si="11">CONCATENATE(YEAR(DATE(YEAR(AJ6),MONTH(AJ6),1)),"-",YEAR(DATE(YEAR(AJ7),MONTH(AJ7),1)))</f>
        <v>2028-2029</v>
      </c>
      <c r="AK8" s="24" t="str">
        <f t="shared" si="11"/>
        <v>2029-2030</v>
      </c>
      <c r="AL8" s="24" t="str">
        <f t="shared" ref="AL8:AN8" si="12">CONCATENATE(YEAR(DATE(YEAR(AL6),MONTH(AL6),1)),"-",YEAR(DATE(YEAR(AL7),MONTH(AL7),1)))</f>
        <v>2030-2031</v>
      </c>
      <c r="AM8" s="24" t="str">
        <f t="shared" si="12"/>
        <v>2031-2032</v>
      </c>
      <c r="AN8" s="24" t="str">
        <f t="shared" si="12"/>
        <v>2032-2033</v>
      </c>
      <c r="AO8" s="24" t="str">
        <f t="shared" ref="AO8:AP8" si="13">CONCATENATE(YEAR(DATE(YEAR(AO6),MONTH(AO6),1)),"-",YEAR(DATE(YEAR(AO7),MONTH(AO7),1)))</f>
        <v>2033-2034</v>
      </c>
      <c r="AP8" s="24" t="str">
        <f t="shared" si="13"/>
        <v>2034-2035</v>
      </c>
      <c r="AR8" s="23" t="str">
        <f ca="1">CELL("filename",'Consortium 1'!$A$1)</f>
        <v>W:\Intake\######_LastName_YYYY_Sponsor_Program_w_LEAD\01_Budget_Drafts\[######_Lastname_Budget_v1.xlsx]Consortium 1</v>
      </c>
    </row>
    <row r="9" spans="1:56" x14ac:dyDescent="0.35">
      <c r="A9" s="23" t="str">
        <f>IF($B$8="Yes"," ",IF($B$8="No","Select Percentage Base TDC or TFF:",FALSE))</f>
        <v xml:space="preserve"> </v>
      </c>
      <c r="B9" s="233" t="str">
        <f>IF(OR($A$9=" ",$A$9="Select Percentage Base TDC or TFF:")," ")</f>
        <v xml:space="preserve"> </v>
      </c>
      <c r="C9" s="231" t="str">
        <f>IF($B$8="Yes"," ",IF($B$8="No","Total Direct Costs (TDC) or Total Federal Funds (TFF)",FALSE))</f>
        <v xml:space="preserve"> </v>
      </c>
      <c r="H9" s="116"/>
      <c r="M9" s="25" t="s">
        <v>82</v>
      </c>
      <c r="N9" s="392">
        <v>0.26</v>
      </c>
      <c r="O9" s="392">
        <v>0.26</v>
      </c>
      <c r="P9" s="392">
        <v>0.26</v>
      </c>
      <c r="Q9" s="392">
        <v>0.26</v>
      </c>
      <c r="R9" s="392">
        <v>0.26</v>
      </c>
      <c r="S9" s="392">
        <v>0.26</v>
      </c>
      <c r="T9" s="392">
        <v>0.26</v>
      </c>
      <c r="U9" s="392">
        <v>0.26</v>
      </c>
      <c r="V9" s="392">
        <v>0.26</v>
      </c>
      <c r="W9" s="392">
        <v>0.26</v>
      </c>
      <c r="X9" s="392">
        <v>0.26</v>
      </c>
      <c r="Y9" s="392">
        <v>0.26</v>
      </c>
      <c r="Z9" s="392">
        <v>0.26</v>
      </c>
      <c r="AA9" s="392">
        <v>0.26</v>
      </c>
      <c r="AB9" s="392">
        <v>0.26</v>
      </c>
      <c r="AR9" s="23" t="str">
        <f ca="1">CELL("filename",'Consortium 2'!$A$1)</f>
        <v>W:\Intake\######_LastName_YYYY_Sponsor_Program_w_LEAD\01_Budget_Drafts\[######_Lastname_Budget_v1.xlsx]Consortium 2</v>
      </c>
    </row>
    <row r="10" spans="1:56" x14ac:dyDescent="0.35">
      <c r="A10" s="23" t="str">
        <f>IF($B$9="TDC","Enter % to be applied to Total Direct Costs",IF($B$9="TFF","Enter % of the total Federal funds allowed:"," "))</f>
        <v xml:space="preserve"> </v>
      </c>
      <c r="B10" s="191" t="str">
        <f>IF(OR($A$10="Enter % to be applied to Total Direct Costs",$A$10="Enter % of the total Federal funds allowed:"),0," ")</f>
        <v xml:space="preserve"> </v>
      </c>
      <c r="C10" s="23" t="str">
        <f>IF(OR(B10=0,B10=" ")," ",IF(OR($B$9="TDC",$B$9=" ")," ",CONCATENATE("This limitation is equivalent to ",TEXT(ROUND(+$B$10/(1-$B$10),5),"0.000%")," of the total direct costs")))</f>
        <v xml:space="preserve"> </v>
      </c>
      <c r="I10" s="116"/>
      <c r="M10" s="25" t="s">
        <v>125</v>
      </c>
      <c r="N10" s="25" t="str">
        <f>IF(OR($B$8="Yes",$B$10=" "),"",IF(AND($B$8="No",$B$9="TDC"),$B$10,IF(AND($B$8="No",$B$9="TFF"),ROUND(+$B$10/(1-$B$10),5),FALSE)))</f>
        <v/>
      </c>
      <c r="O10" s="25" t="str">
        <f t="shared" ref="O10:T10" si="14">IF(OR($B$8="Yes",$B$10=" "),"",IF(AND($B$8="No",$B$9="TDC"),$B$10,IF(AND($B$8="No",$B$9="TFF"),ROUND(+$B$10/(1-$B$10),5),FALSE)))</f>
        <v/>
      </c>
      <c r="P10" s="25" t="str">
        <f t="shared" si="14"/>
        <v/>
      </c>
      <c r="Q10" s="25" t="str">
        <f t="shared" si="14"/>
        <v/>
      </c>
      <c r="R10" s="25" t="str">
        <f t="shared" si="14"/>
        <v/>
      </c>
      <c r="S10" s="25" t="str">
        <f t="shared" si="14"/>
        <v/>
      </c>
      <c r="T10" s="25" t="str">
        <f t="shared" si="14"/>
        <v/>
      </c>
      <c r="U10" s="26"/>
      <c r="V10" s="26"/>
      <c r="W10" s="26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 t="str">
        <f ca="1">CELL("filename",'Consortium 3'!$A$1)</f>
        <v>W:\Intake\######_LastName_YYYY_Sponsor_Program_w_LEAD\01_Budget_Drafts\[######_Lastname_Budget_v1.xlsx]Consortium 3</v>
      </c>
    </row>
    <row r="11" spans="1:56" x14ac:dyDescent="0.35">
      <c r="A11" s="23"/>
      <c r="B11" s="23"/>
      <c r="C11" s="23"/>
      <c r="D11" s="23"/>
      <c r="E11" s="23"/>
      <c r="F11" s="116"/>
      <c r="I11" s="23"/>
      <c r="J11" s="111"/>
      <c r="K11" s="111"/>
      <c r="M11" s="25"/>
      <c r="U11" s="26"/>
      <c r="V11" s="26"/>
      <c r="W11" s="26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 t="str">
        <f ca="1">CELL("filename",'Consortium 4'!$A$1)</f>
        <v>W:\Intake\######_LastName_YYYY_Sponsor_Program_w_LEAD\01_Budget_Drafts\[######_Lastname_Budget_v1.xlsx]Consortium 4</v>
      </c>
    </row>
    <row r="12" spans="1:56" x14ac:dyDescent="0.35">
      <c r="A12" s="235" t="str">
        <f>IF($B$8="Yes"," ","Rate being applied to Total Direct Costs:")</f>
        <v xml:space="preserve"> </v>
      </c>
      <c r="B12" s="234" t="str">
        <f>IF(OR($B$8="Yes",$B$10=" "),"",IF(AND($B$8="No",$B$9="TDC"),$B$10,IF(AND($B$8="No",$B$9="TFF"),ROUND(+$B$10/(1-$B$10),5),FALSE)))</f>
        <v/>
      </c>
      <c r="C12" s="232"/>
      <c r="D12" s="236"/>
      <c r="I12" s="23"/>
      <c r="J12" s="111"/>
      <c r="K12" s="111"/>
      <c r="M12" s="25" t="s">
        <v>203</v>
      </c>
      <c r="N12" s="422"/>
      <c r="O12" s="25"/>
      <c r="P12" s="25"/>
      <c r="Q12" s="25"/>
      <c r="R12" s="25"/>
      <c r="S12" s="25"/>
      <c r="T12" s="25"/>
      <c r="U12" s="26"/>
      <c r="V12" s="26"/>
      <c r="W12" s="26"/>
      <c r="AC12" s="23" t="s">
        <v>90</v>
      </c>
      <c r="AD12" s="23" t="s">
        <v>91</v>
      </c>
      <c r="AE12" s="23" t="s">
        <v>92</v>
      </c>
      <c r="AF12" s="23"/>
      <c r="AG12" s="23" t="s">
        <v>127</v>
      </c>
      <c r="AH12" s="23" t="s">
        <v>129</v>
      </c>
      <c r="AI12" s="23"/>
      <c r="AJ12" s="23" t="s">
        <v>132</v>
      </c>
      <c r="AK12" s="23"/>
      <c r="AL12" s="23"/>
      <c r="AM12" s="23"/>
      <c r="AN12" s="23"/>
      <c r="AO12" s="23"/>
      <c r="AP12" s="23"/>
      <c r="AQ12" s="23"/>
      <c r="AR12" s="23" t="str">
        <f ca="1">CELL("filename",'Consortium 4'!$A$1)</f>
        <v>W:\Intake\######_LastName_YYYY_Sponsor_Program_w_LEAD\01_Budget_Drafts\[######_Lastname_Budget_v1.xlsx]Consortium 4</v>
      </c>
    </row>
    <row r="13" spans="1:56" x14ac:dyDescent="0.35">
      <c r="A13" s="23"/>
      <c r="B13" s="191"/>
      <c r="G13" s="23"/>
      <c r="M13" s="25" t="s">
        <v>204</v>
      </c>
      <c r="N13" s="422"/>
      <c r="O13" s="25"/>
      <c r="P13" s="25"/>
      <c r="Q13" s="25"/>
      <c r="R13" s="25"/>
      <c r="S13" s="25"/>
      <c r="T13" s="25"/>
      <c r="U13" s="26"/>
      <c r="V13" s="26"/>
      <c r="W13" s="26"/>
      <c r="AC13" s="23" t="s">
        <v>93</v>
      </c>
      <c r="AD13" s="23" t="s">
        <v>94</v>
      </c>
      <c r="AE13" s="23" t="s">
        <v>95</v>
      </c>
      <c r="AF13" s="23"/>
      <c r="AG13" s="23" t="s">
        <v>128</v>
      </c>
      <c r="AH13" s="23" t="s">
        <v>29</v>
      </c>
      <c r="AI13" s="23"/>
      <c r="AJ13" s="23" t="s">
        <v>131</v>
      </c>
      <c r="AK13" s="23"/>
      <c r="AL13" s="23"/>
      <c r="AM13" s="23"/>
      <c r="AN13" s="23"/>
      <c r="AO13" s="23"/>
      <c r="AP13" s="23"/>
    </row>
    <row r="14" spans="1:56" x14ac:dyDescent="0.35">
      <c r="A14" s="141" t="str">
        <f t="shared" ref="A14:A19" ca="1" si="15">""&amp;MID(AR2,FIND("]",AR2)+1,25)</f>
        <v>Lead Budget</v>
      </c>
      <c r="B14" s="307" t="s">
        <v>65</v>
      </c>
      <c r="D14" s="53"/>
      <c r="E14" s="53"/>
      <c r="M14" s="25" t="s">
        <v>205</v>
      </c>
      <c r="N14" s="423">
        <v>56484</v>
      </c>
      <c r="O14" s="425" t="s">
        <v>213</v>
      </c>
      <c r="P14" s="25"/>
      <c r="Q14" s="25"/>
      <c r="R14" s="25"/>
      <c r="S14" s="25"/>
      <c r="T14" s="25"/>
    </row>
    <row r="15" spans="1:56" x14ac:dyDescent="0.35">
      <c r="A15" s="136" t="str">
        <f t="shared" ca="1" si="15"/>
        <v>Co-PI Budget (1)</v>
      </c>
      <c r="B15" s="307" t="s">
        <v>57</v>
      </c>
      <c r="D15" s="53"/>
      <c r="M15" s="25" t="s">
        <v>206</v>
      </c>
      <c r="N15" s="424"/>
      <c r="U15" s="26"/>
      <c r="AB15" s="23"/>
      <c r="AC15" s="23"/>
      <c r="AD15" s="23" t="s">
        <v>6</v>
      </c>
      <c r="AE15" s="23"/>
      <c r="AF15" s="23"/>
      <c r="AG15" s="23"/>
      <c r="AH15" s="23"/>
      <c r="AI15" s="23"/>
      <c r="AJ15" s="23"/>
      <c r="AK15" s="23"/>
      <c r="AL15" s="23"/>
    </row>
    <row r="16" spans="1:56" x14ac:dyDescent="0.35">
      <c r="A16" s="135" t="str">
        <f t="shared" ca="1" si="15"/>
        <v>Co-PI Budget (2)</v>
      </c>
      <c r="B16" s="307" t="s">
        <v>57</v>
      </c>
      <c r="D16" s="53"/>
      <c r="E16" s="230"/>
      <c r="M16" s="25" t="s">
        <v>207</v>
      </c>
      <c r="N16" s="424"/>
      <c r="U16" s="26"/>
    </row>
    <row r="17" spans="1:42" x14ac:dyDescent="0.35">
      <c r="A17" s="137" t="str">
        <f t="shared" ca="1" si="15"/>
        <v>Co-PI Budget (3)</v>
      </c>
      <c r="B17" s="307" t="s">
        <v>57</v>
      </c>
      <c r="D17" s="53"/>
      <c r="M17" s="25" t="s">
        <v>208</v>
      </c>
      <c r="N17" s="428">
        <v>14.2</v>
      </c>
      <c r="O17" s="425" t="s">
        <v>210</v>
      </c>
      <c r="U17" s="26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42" x14ac:dyDescent="0.35">
      <c r="A18" s="138" t="str">
        <f t="shared" ca="1" si="15"/>
        <v>Co-PI Budget (4)</v>
      </c>
      <c r="B18" s="307" t="s">
        <v>57</v>
      </c>
      <c r="D18" s="53"/>
      <c r="M18" s="25" t="s">
        <v>209</v>
      </c>
      <c r="N18" s="424"/>
      <c r="P18" s="419"/>
      <c r="U18" s="26"/>
    </row>
    <row r="19" spans="1:42" x14ac:dyDescent="0.35">
      <c r="A19" s="134" t="str">
        <f t="shared" ca="1" si="15"/>
        <v>Co-PI Budget (5)</v>
      </c>
      <c r="B19" s="307" t="s">
        <v>57</v>
      </c>
      <c r="D19" s="53"/>
      <c r="V19" s="26"/>
    </row>
    <row r="20" spans="1:42" ht="20" x14ac:dyDescent="0.4">
      <c r="O20" s="40" t="s">
        <v>149</v>
      </c>
      <c r="P20" s="27"/>
      <c r="Q20" s="28"/>
      <c r="R20" s="27"/>
      <c r="S20" s="28"/>
      <c r="T20" s="29"/>
      <c r="W20" s="26"/>
      <c r="AH20" s="23"/>
      <c r="AJ20" s="23"/>
      <c r="AK20" s="23"/>
      <c r="AL20" s="23"/>
      <c r="AM20" s="23"/>
      <c r="AN20" s="23"/>
      <c r="AO20" s="23"/>
      <c r="AP20" s="23"/>
    </row>
    <row r="21" spans="1:42" x14ac:dyDescent="0.35">
      <c r="A21" s="192" t="str">
        <f ca="1">+A14</f>
        <v>Lead Budget</v>
      </c>
      <c r="P21" s="103" t="str">
        <f t="shared" ref="P21:V21" si="16">CONCATENATE("Fall ",RIGHT(P24,4)-"1")</f>
        <v>Fall 2022</v>
      </c>
      <c r="Q21" s="103" t="str">
        <f t="shared" si="16"/>
        <v>Fall 2023</v>
      </c>
      <c r="R21" s="103" t="str">
        <f t="shared" si="16"/>
        <v>Fall 2024</v>
      </c>
      <c r="S21" s="103" t="str">
        <f t="shared" si="16"/>
        <v>Fall 2025</v>
      </c>
      <c r="T21" s="103" t="str">
        <f t="shared" si="16"/>
        <v>Fall 2026</v>
      </c>
      <c r="U21" s="103" t="str">
        <f t="shared" si="16"/>
        <v>Fall 2027</v>
      </c>
      <c r="V21" s="103" t="str">
        <f t="shared" si="16"/>
        <v>Fall 2028</v>
      </c>
      <c r="W21" s="103" t="str">
        <f t="shared" ref="W21:AA21" si="17">CONCATENATE("Fall ",RIGHT(W24,4)-"1")</f>
        <v>Fall 2029</v>
      </c>
      <c r="X21" s="103" t="str">
        <f t="shared" si="17"/>
        <v>Fall 2030</v>
      </c>
      <c r="Y21" s="103" t="str">
        <f t="shared" si="17"/>
        <v>Fall 2031</v>
      </c>
      <c r="Z21" s="103" t="str">
        <f t="shared" si="17"/>
        <v>Fall 2032</v>
      </c>
      <c r="AA21" s="103" t="str">
        <f t="shared" si="17"/>
        <v>Fall 2033</v>
      </c>
      <c r="AB21" s="103" t="str">
        <f t="shared" ref="AB21:AC21" si="18">CONCATENATE("Fall ",RIGHT(AB24,4)-"1")</f>
        <v>Fall 2034</v>
      </c>
      <c r="AC21" s="103" t="str">
        <f t="shared" si="18"/>
        <v>Fall 2035</v>
      </c>
    </row>
    <row r="22" spans="1:42" x14ac:dyDescent="0.35">
      <c r="A22" s="133" t="s">
        <v>50</v>
      </c>
      <c r="B22" s="207" t="str">
        <f>+B14</f>
        <v>PI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O22" s="25"/>
      <c r="P22" s="103" t="str">
        <f t="shared" ref="P22:V22" si="19">CONCATENATE("Spring ",RIGHT(P24,4))</f>
        <v>Spring 2023</v>
      </c>
      <c r="Q22" s="103" t="str">
        <f t="shared" si="19"/>
        <v>Spring 2024</v>
      </c>
      <c r="R22" s="103" t="str">
        <f t="shared" si="19"/>
        <v>Spring 2025</v>
      </c>
      <c r="S22" s="103" t="str">
        <f t="shared" si="19"/>
        <v>Spring 2026</v>
      </c>
      <c r="T22" s="103" t="str">
        <f t="shared" si="19"/>
        <v>Spring 2027</v>
      </c>
      <c r="U22" s="103" t="str">
        <f t="shared" si="19"/>
        <v>Spring 2028</v>
      </c>
      <c r="V22" s="103" t="str">
        <f t="shared" si="19"/>
        <v>Spring 2029</v>
      </c>
      <c r="W22" s="103" t="str">
        <f t="shared" ref="W22:AA22" si="20">CONCATENATE("Spring ",RIGHT(W24,4))</f>
        <v>Spring 2030</v>
      </c>
      <c r="X22" s="103" t="str">
        <f t="shared" si="20"/>
        <v>Spring 2031</v>
      </c>
      <c r="Y22" s="103" t="str">
        <f t="shared" si="20"/>
        <v>Spring 2032</v>
      </c>
      <c r="Z22" s="103" t="str">
        <f t="shared" si="20"/>
        <v>Spring 2033</v>
      </c>
      <c r="AA22" s="103" t="str">
        <f t="shared" si="20"/>
        <v>Spring 2034</v>
      </c>
      <c r="AB22" s="103" t="str">
        <f t="shared" ref="AB22:AC22" si="21">CONCATENATE("Spring ",RIGHT(AB24,4))</f>
        <v>Spring 2035</v>
      </c>
      <c r="AC22" s="103" t="str">
        <f t="shared" si="21"/>
        <v>Spring 2036</v>
      </c>
    </row>
    <row r="23" spans="1:42" x14ac:dyDescent="0.35">
      <c r="A23" s="133" t="s">
        <v>53</v>
      </c>
      <c r="B23" s="308" t="s">
        <v>57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O23" s="25"/>
      <c r="P23" s="103" t="str">
        <f t="shared" ref="P23:AC23" si="22">CONCATENATE("Summer ",RIGHT(P24,4))</f>
        <v>Summer 2023</v>
      </c>
      <c r="Q23" s="103" t="str">
        <f t="shared" si="22"/>
        <v>Summer 2024</v>
      </c>
      <c r="R23" s="103" t="str">
        <f t="shared" si="22"/>
        <v>Summer 2025</v>
      </c>
      <c r="S23" s="103" t="str">
        <f t="shared" si="22"/>
        <v>Summer 2026</v>
      </c>
      <c r="T23" s="103" t="str">
        <f t="shared" si="22"/>
        <v>Summer 2027</v>
      </c>
      <c r="U23" s="103" t="str">
        <f t="shared" si="22"/>
        <v>Summer 2028</v>
      </c>
      <c r="V23" s="103" t="str">
        <f t="shared" si="22"/>
        <v>Summer 2029</v>
      </c>
      <c r="W23" s="103" t="str">
        <f t="shared" si="22"/>
        <v>Summer 2030</v>
      </c>
      <c r="X23" s="103" t="str">
        <f t="shared" si="22"/>
        <v>Summer 2031</v>
      </c>
      <c r="Y23" s="103" t="str">
        <f t="shared" si="22"/>
        <v>Summer 2032</v>
      </c>
      <c r="Z23" s="103" t="str">
        <f t="shared" si="22"/>
        <v>Summer 2033</v>
      </c>
      <c r="AA23" s="103" t="str">
        <f t="shared" si="22"/>
        <v>Summer 2034</v>
      </c>
      <c r="AB23" s="103" t="str">
        <f t="shared" si="22"/>
        <v>Summer 2035</v>
      </c>
      <c r="AC23" s="103" t="str">
        <f t="shared" si="22"/>
        <v>Summer 2036</v>
      </c>
    </row>
    <row r="24" spans="1:42" x14ac:dyDescent="0.35">
      <c r="A24" s="133" t="s">
        <v>53</v>
      </c>
      <c r="B24" s="308" t="s">
        <v>57</v>
      </c>
      <c r="C24" s="143"/>
      <c r="D24" s="157"/>
      <c r="E24" s="158"/>
      <c r="F24" s="158"/>
      <c r="G24" s="159"/>
      <c r="H24" s="159"/>
      <c r="I24" s="143"/>
      <c r="J24" s="143"/>
      <c r="K24" s="143"/>
      <c r="L24" s="143"/>
      <c r="M24" s="143"/>
      <c r="O24" s="25"/>
      <c r="P24" s="113" t="str">
        <f t="shared" ref="P24:AC24" si="23">+N2</f>
        <v>FY2023</v>
      </c>
      <c r="Q24" s="113" t="str">
        <f t="shared" si="23"/>
        <v>FY2024</v>
      </c>
      <c r="R24" s="113" t="str">
        <f t="shared" si="23"/>
        <v>FY2025</v>
      </c>
      <c r="S24" s="113" t="str">
        <f t="shared" si="23"/>
        <v>FY2026</v>
      </c>
      <c r="T24" s="113" t="str">
        <f t="shared" si="23"/>
        <v>FY2027</v>
      </c>
      <c r="U24" s="113" t="str">
        <f t="shared" si="23"/>
        <v>FY2028</v>
      </c>
      <c r="V24" s="113" t="str">
        <f t="shared" si="23"/>
        <v>FY2029</v>
      </c>
      <c r="W24" s="113" t="str">
        <f t="shared" si="23"/>
        <v>FY2030</v>
      </c>
      <c r="X24" s="113" t="str">
        <f t="shared" si="23"/>
        <v>FY2031</v>
      </c>
      <c r="Y24" s="113" t="str">
        <f t="shared" si="23"/>
        <v>FY2032</v>
      </c>
      <c r="Z24" s="113" t="str">
        <f t="shared" si="23"/>
        <v>FY2033</v>
      </c>
      <c r="AA24" s="113" t="str">
        <f t="shared" si="23"/>
        <v>FY2034</v>
      </c>
      <c r="AB24" s="113" t="str">
        <f t="shared" si="23"/>
        <v>FY2035</v>
      </c>
      <c r="AC24" s="113" t="str">
        <f t="shared" si="23"/>
        <v>FY2036</v>
      </c>
      <c r="AD24" s="114" t="s">
        <v>101</v>
      </c>
    </row>
    <row r="25" spans="1:42" x14ac:dyDescent="0.35">
      <c r="A25" s="133" t="s">
        <v>113</v>
      </c>
      <c r="B25" s="309" t="s">
        <v>95</v>
      </c>
      <c r="C25" s="143"/>
      <c r="D25" s="157"/>
      <c r="E25" s="158"/>
      <c r="F25" s="158"/>
      <c r="G25" s="159"/>
      <c r="H25" s="159"/>
      <c r="I25" s="143"/>
      <c r="J25" s="143"/>
      <c r="K25" s="143"/>
      <c r="L25" s="143"/>
      <c r="M25" s="143"/>
      <c r="O25" s="30" t="s">
        <v>35</v>
      </c>
      <c r="P25" s="101">
        <v>30087</v>
      </c>
      <c r="Q25" s="101">
        <v>32494.5</v>
      </c>
      <c r="R25" s="101">
        <f t="shared" ref="R25:AC25" si="24">ROUND(Q25*(1+$AD25),0)</f>
        <v>35094</v>
      </c>
      <c r="S25" s="101">
        <f t="shared" si="24"/>
        <v>37902</v>
      </c>
      <c r="T25" s="101">
        <f t="shared" si="24"/>
        <v>40934</v>
      </c>
      <c r="U25" s="101">
        <f t="shared" si="24"/>
        <v>44209</v>
      </c>
      <c r="V25" s="101">
        <f t="shared" si="24"/>
        <v>47746</v>
      </c>
      <c r="W25" s="101">
        <f t="shared" si="24"/>
        <v>51566</v>
      </c>
      <c r="X25" s="101">
        <f t="shared" si="24"/>
        <v>55691</v>
      </c>
      <c r="Y25" s="101">
        <f t="shared" si="24"/>
        <v>60146</v>
      </c>
      <c r="Z25" s="101">
        <f t="shared" si="24"/>
        <v>64958</v>
      </c>
      <c r="AA25" s="101">
        <f t="shared" si="24"/>
        <v>70155</v>
      </c>
      <c r="AB25" s="101">
        <f t="shared" si="24"/>
        <v>75767</v>
      </c>
      <c r="AC25" s="101">
        <f t="shared" si="24"/>
        <v>81828</v>
      </c>
      <c r="AD25" s="31">
        <v>0.08</v>
      </c>
    </row>
    <row r="26" spans="1:42" x14ac:dyDescent="0.35">
      <c r="A26" s="133" t="s">
        <v>134</v>
      </c>
      <c r="B26" s="309" t="s">
        <v>132</v>
      </c>
      <c r="C26" s="143"/>
      <c r="D26" s="157"/>
      <c r="E26" s="158"/>
      <c r="F26" s="158"/>
      <c r="G26" s="159"/>
      <c r="H26" s="159"/>
      <c r="I26" s="143"/>
      <c r="J26" s="143"/>
      <c r="K26" s="143"/>
      <c r="L26" s="143"/>
      <c r="M26" s="143"/>
      <c r="O26" s="30" t="s">
        <v>23</v>
      </c>
      <c r="P26" s="101">
        <f>P25/3</f>
        <v>10029</v>
      </c>
      <c r="Q26" s="101">
        <f>Q25/3</f>
        <v>10831.5</v>
      </c>
      <c r="R26" s="101">
        <f t="shared" ref="R26:AC26" si="25">ROUND(Q26*(1+$AD26),0)</f>
        <v>11698</v>
      </c>
      <c r="S26" s="101">
        <f t="shared" si="25"/>
        <v>12634</v>
      </c>
      <c r="T26" s="101">
        <f t="shared" si="25"/>
        <v>13645</v>
      </c>
      <c r="U26" s="101">
        <f t="shared" si="25"/>
        <v>14737</v>
      </c>
      <c r="V26" s="101">
        <f t="shared" si="25"/>
        <v>15916</v>
      </c>
      <c r="W26" s="101">
        <f t="shared" si="25"/>
        <v>17189</v>
      </c>
      <c r="X26" s="101">
        <f t="shared" si="25"/>
        <v>18564</v>
      </c>
      <c r="Y26" s="101">
        <f t="shared" si="25"/>
        <v>20049</v>
      </c>
      <c r="Z26" s="101">
        <f t="shared" si="25"/>
        <v>21653</v>
      </c>
      <c r="AA26" s="101">
        <f t="shared" si="25"/>
        <v>23385</v>
      </c>
      <c r="AB26" s="101">
        <f t="shared" si="25"/>
        <v>25256</v>
      </c>
      <c r="AC26" s="101">
        <f t="shared" si="25"/>
        <v>27276</v>
      </c>
      <c r="AD26" s="31">
        <v>0.08</v>
      </c>
    </row>
    <row r="27" spans="1:42" ht="15.75" customHeight="1" x14ac:dyDescent="0.35">
      <c r="A27" s="143"/>
      <c r="B27" s="310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O27" s="30" t="s">
        <v>30</v>
      </c>
      <c r="P27" s="101">
        <f>+P25+P26</f>
        <v>40116</v>
      </c>
      <c r="Q27" s="101">
        <f>+Q25+Q26</f>
        <v>43326</v>
      </c>
      <c r="R27" s="101">
        <f t="shared" ref="R27:V27" si="26">+R25+R26</f>
        <v>46792</v>
      </c>
      <c r="S27" s="101">
        <f t="shared" si="26"/>
        <v>50536</v>
      </c>
      <c r="T27" s="101">
        <f t="shared" si="26"/>
        <v>54579</v>
      </c>
      <c r="U27" s="101">
        <f t="shared" si="26"/>
        <v>58946</v>
      </c>
      <c r="V27" s="101">
        <f t="shared" si="26"/>
        <v>63662</v>
      </c>
      <c r="W27" s="101">
        <f t="shared" ref="W27:AA27" si="27">+W25+W26</f>
        <v>68755</v>
      </c>
      <c r="X27" s="101">
        <f t="shared" si="27"/>
        <v>74255</v>
      </c>
      <c r="Y27" s="101">
        <f t="shared" si="27"/>
        <v>80195</v>
      </c>
      <c r="Z27" s="101">
        <f t="shared" si="27"/>
        <v>86611</v>
      </c>
      <c r="AA27" s="101">
        <f t="shared" si="27"/>
        <v>93540</v>
      </c>
      <c r="AB27" s="101">
        <f t="shared" ref="AB27:AC27" si="28">+AB25+AB26</f>
        <v>101023</v>
      </c>
      <c r="AC27" s="101">
        <f t="shared" si="28"/>
        <v>109104</v>
      </c>
      <c r="AD27" s="31"/>
    </row>
    <row r="28" spans="1:42" x14ac:dyDescent="0.35">
      <c r="A28" s="133" t="s">
        <v>97</v>
      </c>
      <c r="B28" s="309" t="s">
        <v>95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O28" s="30" t="s">
        <v>114</v>
      </c>
      <c r="P28" s="101">
        <v>10400</v>
      </c>
      <c r="Q28" s="101">
        <f t="shared" ref="Q28:AC28" si="29">ROUND(P28*(1+$AD28),0)</f>
        <v>10400</v>
      </c>
      <c r="R28" s="101">
        <f t="shared" si="29"/>
        <v>10400</v>
      </c>
      <c r="S28" s="101">
        <f t="shared" si="29"/>
        <v>10400</v>
      </c>
      <c r="T28" s="101">
        <f t="shared" si="29"/>
        <v>10400</v>
      </c>
      <c r="U28" s="101">
        <f t="shared" si="29"/>
        <v>10400</v>
      </c>
      <c r="V28" s="101">
        <f t="shared" si="29"/>
        <v>10400</v>
      </c>
      <c r="W28" s="101">
        <f t="shared" si="29"/>
        <v>10400</v>
      </c>
      <c r="X28" s="101">
        <f t="shared" si="29"/>
        <v>10400</v>
      </c>
      <c r="Y28" s="101">
        <f t="shared" si="29"/>
        <v>10400</v>
      </c>
      <c r="Z28" s="101">
        <f t="shared" si="29"/>
        <v>10400</v>
      </c>
      <c r="AA28" s="101">
        <f t="shared" si="29"/>
        <v>10400</v>
      </c>
      <c r="AB28" s="101">
        <f t="shared" si="29"/>
        <v>10400</v>
      </c>
      <c r="AC28" s="101">
        <f t="shared" si="29"/>
        <v>10400</v>
      </c>
      <c r="AD28" s="31">
        <v>0</v>
      </c>
    </row>
    <row r="29" spans="1:42" x14ac:dyDescent="0.35">
      <c r="A29" s="133" t="s">
        <v>98</v>
      </c>
      <c r="B29" s="309" t="s">
        <v>95</v>
      </c>
      <c r="C29" s="143"/>
      <c r="D29" s="143"/>
      <c r="E29" s="143"/>
      <c r="F29" s="143"/>
      <c r="G29" s="143"/>
      <c r="H29" s="143"/>
      <c r="I29" s="143"/>
      <c r="J29" s="159"/>
      <c r="K29" s="159"/>
      <c r="L29" s="159"/>
      <c r="M29" s="159"/>
      <c r="O29" s="30" t="s">
        <v>115</v>
      </c>
      <c r="P29" s="101">
        <v>14750</v>
      </c>
      <c r="Q29" s="101">
        <v>12400</v>
      </c>
      <c r="R29" s="101">
        <v>10400</v>
      </c>
      <c r="S29" s="101">
        <f t="shared" ref="S29:AC29" si="30">ROUND(R29*(1+$AD29),0)</f>
        <v>10400</v>
      </c>
      <c r="T29" s="101">
        <f t="shared" si="30"/>
        <v>10400</v>
      </c>
      <c r="U29" s="101">
        <f t="shared" si="30"/>
        <v>10400</v>
      </c>
      <c r="V29" s="101">
        <f t="shared" si="30"/>
        <v>10400</v>
      </c>
      <c r="W29" s="101">
        <f t="shared" si="30"/>
        <v>10400</v>
      </c>
      <c r="X29" s="101">
        <f t="shared" si="30"/>
        <v>10400</v>
      </c>
      <c r="Y29" s="101">
        <f t="shared" si="30"/>
        <v>10400</v>
      </c>
      <c r="Z29" s="101">
        <f t="shared" si="30"/>
        <v>10400</v>
      </c>
      <c r="AA29" s="101">
        <f t="shared" si="30"/>
        <v>10400</v>
      </c>
      <c r="AB29" s="101">
        <f t="shared" si="30"/>
        <v>10400</v>
      </c>
      <c r="AC29" s="101">
        <f t="shared" si="30"/>
        <v>10400</v>
      </c>
      <c r="AD29" s="31">
        <v>0</v>
      </c>
    </row>
    <row r="30" spans="1:42" x14ac:dyDescent="0.35">
      <c r="A30" s="143"/>
      <c r="B30" s="143"/>
      <c r="C30" s="143"/>
      <c r="D30" s="143"/>
      <c r="E30" s="143"/>
      <c r="F30" s="143"/>
      <c r="G30" s="143"/>
      <c r="H30" s="143"/>
      <c r="I30" s="143"/>
      <c r="J30" s="159"/>
      <c r="K30" s="159"/>
      <c r="L30" s="159"/>
      <c r="M30" s="159"/>
      <c r="O30" s="30" t="s">
        <v>24</v>
      </c>
      <c r="P30" s="101">
        <f>434+3612</f>
        <v>4046</v>
      </c>
      <c r="Q30" s="101">
        <f>ROUND(P30*(1+$AD30),0)</f>
        <v>4451</v>
      </c>
      <c r="R30" s="101">
        <f t="shared" ref="R30:AC30" si="31">ROUND(Q30*(1+$AD30),0)</f>
        <v>4896</v>
      </c>
      <c r="S30" s="101">
        <f t="shared" si="31"/>
        <v>5386</v>
      </c>
      <c r="T30" s="101">
        <f t="shared" si="31"/>
        <v>5925</v>
      </c>
      <c r="U30" s="101">
        <f t="shared" si="31"/>
        <v>6518</v>
      </c>
      <c r="V30" s="101">
        <f t="shared" si="31"/>
        <v>7170</v>
      </c>
      <c r="W30" s="101">
        <f t="shared" si="31"/>
        <v>7887</v>
      </c>
      <c r="X30" s="101">
        <f t="shared" si="31"/>
        <v>8676</v>
      </c>
      <c r="Y30" s="101">
        <f t="shared" si="31"/>
        <v>9544</v>
      </c>
      <c r="Z30" s="101">
        <f t="shared" si="31"/>
        <v>10498</v>
      </c>
      <c r="AA30" s="101">
        <f t="shared" si="31"/>
        <v>11548</v>
      </c>
      <c r="AB30" s="101">
        <f t="shared" si="31"/>
        <v>12703</v>
      </c>
      <c r="AC30" s="101">
        <f t="shared" si="31"/>
        <v>13973</v>
      </c>
      <c r="AD30" s="31">
        <v>0.1</v>
      </c>
    </row>
    <row r="31" spans="1:42" x14ac:dyDescent="0.35">
      <c r="A31" s="133" t="s">
        <v>100</v>
      </c>
      <c r="B31" s="160" t="str">
        <f>+AE4</f>
        <v>FY2024</v>
      </c>
      <c r="C31" s="160" t="str">
        <f>+AF4</f>
        <v>FY2025</v>
      </c>
      <c r="D31" s="160" t="str">
        <f>+AG4</f>
        <v>FY2026</v>
      </c>
      <c r="E31" s="160" t="str">
        <f>+AH4</f>
        <v>FY2027</v>
      </c>
      <c r="F31" s="160" t="str">
        <f>+AI4</f>
        <v>FY2028</v>
      </c>
      <c r="G31" s="160" t="str">
        <f>CONCATENATE("FY",$AD$3+5)</f>
        <v>FY2029</v>
      </c>
      <c r="H31" s="160" t="str">
        <f>CONCATENATE("FY",$AD$3+6)</f>
        <v>FY2030</v>
      </c>
      <c r="I31" s="160" t="str">
        <f>CONCATENATE("FY",$AD$3+7)</f>
        <v>FY2031</v>
      </c>
      <c r="J31" s="160" t="str">
        <f>CONCATENATE("FY",$AD$3+8)</f>
        <v>FY2032</v>
      </c>
      <c r="K31" s="160" t="str">
        <f>CONCATENATE("FY",$AD$3+9)</f>
        <v>FY2033</v>
      </c>
      <c r="L31" s="160" t="str">
        <f>CONCATENATE("FY",$AD$3+10)</f>
        <v>FY2034</v>
      </c>
      <c r="M31" s="160" t="str">
        <f>CONCATENATE("FY",$AD$3+11)</f>
        <v>FY2035</v>
      </c>
      <c r="O31" s="63" t="s">
        <v>200</v>
      </c>
      <c r="P31" s="418" t="s">
        <v>214</v>
      </c>
      <c r="Q31" s="418" t="s">
        <v>202</v>
      </c>
    </row>
    <row r="32" spans="1:42" x14ac:dyDescent="0.35">
      <c r="A32" s="133" t="str">
        <f>IF(AND(B25="Contract College",B$6="Federal"),"   Contract (Federal) - Senior Personnel",IF(AND(B25="Contract College",B$6="Non-federal"),"   Contract (Non-federal) - Senior Personnel","   Endowed - Senior Personnel"))</f>
        <v xml:space="preserve">   Endowed - Senior Personnel</v>
      </c>
      <c r="B32" s="394">
        <f t="shared" ref="B32:M32" si="32">IF(AND($B25="Contract College",$B$6="Federal"),HLOOKUP(B31,FringeAndIDCRates,2,FALSE),IF(AND($B$25="Contract College",$B$6="Non-Federal"),HLOOKUP(B31,FringeAndIDCRates,3,FALSE),HLOOKUP(B31,FringeAndIDCRates,4,FALSE)))</f>
        <v>0.37</v>
      </c>
      <c r="C32" s="394">
        <f t="shared" si="32"/>
        <v>0.37</v>
      </c>
      <c r="D32" s="394">
        <f t="shared" si="32"/>
        <v>0.37</v>
      </c>
      <c r="E32" s="394">
        <f t="shared" si="32"/>
        <v>0.37</v>
      </c>
      <c r="F32" s="394">
        <f t="shared" si="32"/>
        <v>0.37</v>
      </c>
      <c r="G32" s="394">
        <f t="shared" si="32"/>
        <v>0.37</v>
      </c>
      <c r="H32" s="394">
        <f t="shared" si="32"/>
        <v>0.37</v>
      </c>
      <c r="I32" s="394">
        <f t="shared" si="32"/>
        <v>0.37</v>
      </c>
      <c r="J32" s="394">
        <f t="shared" si="32"/>
        <v>0.37</v>
      </c>
      <c r="K32" s="394">
        <f t="shared" si="32"/>
        <v>0.37</v>
      </c>
      <c r="L32" s="394">
        <f t="shared" si="32"/>
        <v>0.37</v>
      </c>
      <c r="M32" s="394">
        <f t="shared" si="32"/>
        <v>0.37</v>
      </c>
      <c r="O32" s="421" t="s">
        <v>201</v>
      </c>
    </row>
    <row r="33" spans="1:26" x14ac:dyDescent="0.35">
      <c r="A33" s="133" t="str">
        <f>IF(AND(B$6="Federal",B28="Contract College"),"   Contract (Federal) - Post Doc",IF(AND(B$6="Non-federal",B28="Contract College"),"   Contract (Non-federal) - Post Doc","   Endowed - Post Doc"))</f>
        <v xml:space="preserve">   Endowed - Post Doc</v>
      </c>
      <c r="B33" s="394">
        <f t="shared" ref="B33:M33" si="33">IF($B28="Endowed College",HLOOKUP(B$31,FringeAndIDCRates,4,FALSE),IF($B$6="Federal",HLOOKUP(B$31,FringeAndIDCRates,2,FALSE),IF($B$6="Non-Federal",HLOOKUP(B$31,FringeAndIDCRates,3,FALSE))))</f>
        <v>0.37</v>
      </c>
      <c r="C33" s="394">
        <f t="shared" si="33"/>
        <v>0.37</v>
      </c>
      <c r="D33" s="394">
        <f t="shared" si="33"/>
        <v>0.37</v>
      </c>
      <c r="E33" s="394">
        <f t="shared" si="33"/>
        <v>0.37</v>
      </c>
      <c r="F33" s="394">
        <f t="shared" si="33"/>
        <v>0.37</v>
      </c>
      <c r="G33" s="394">
        <f t="shared" si="33"/>
        <v>0.37</v>
      </c>
      <c r="H33" s="394">
        <f t="shared" si="33"/>
        <v>0.37</v>
      </c>
      <c r="I33" s="394">
        <f t="shared" si="33"/>
        <v>0.37</v>
      </c>
      <c r="J33" s="394">
        <f t="shared" si="33"/>
        <v>0.37</v>
      </c>
      <c r="K33" s="394">
        <f t="shared" si="33"/>
        <v>0.37</v>
      </c>
      <c r="L33" s="394">
        <f t="shared" si="33"/>
        <v>0.37</v>
      </c>
      <c r="M33" s="394">
        <f t="shared" si="33"/>
        <v>0.37</v>
      </c>
      <c r="P33" s="420"/>
      <c r="Q33" s="418"/>
    </row>
    <row r="34" spans="1:26" x14ac:dyDescent="0.35">
      <c r="A34" s="133" t="str">
        <f>IF(AND(B$6="Federal",B29="Contract College"),"   Contract (Federal) - Other Employee",IF(AND(B$6="Non-federal",B29="Contract College"),"   Contract (Non-federal) - Other Empolyee","   Endowed - Other Employee"))</f>
        <v xml:space="preserve">   Endowed - Other Employee</v>
      </c>
      <c r="B34" s="394">
        <f t="shared" ref="B34:M34" si="34">IF($B29="Endowed College",HLOOKUP(B$31,FringeAndIDCRates,4,FALSE),IF($B$6="Federal",HLOOKUP(B$31,FringeAndIDCRates,2,FALSE),IF($B$6="Non-Federal",HLOOKUP(B$31,FringeAndIDCRates,3,FALSE))))</f>
        <v>0.37</v>
      </c>
      <c r="C34" s="394">
        <f t="shared" si="34"/>
        <v>0.37</v>
      </c>
      <c r="D34" s="394">
        <f t="shared" si="34"/>
        <v>0.37</v>
      </c>
      <c r="E34" s="394">
        <f t="shared" si="34"/>
        <v>0.37</v>
      </c>
      <c r="F34" s="394">
        <f t="shared" si="34"/>
        <v>0.37</v>
      </c>
      <c r="G34" s="394">
        <f t="shared" si="34"/>
        <v>0.37</v>
      </c>
      <c r="H34" s="394">
        <f t="shared" si="34"/>
        <v>0.37</v>
      </c>
      <c r="I34" s="394">
        <f t="shared" si="34"/>
        <v>0.37</v>
      </c>
      <c r="J34" s="394">
        <f t="shared" si="34"/>
        <v>0.37</v>
      </c>
      <c r="K34" s="394">
        <f t="shared" si="34"/>
        <v>0.37</v>
      </c>
      <c r="L34" s="394">
        <f t="shared" si="34"/>
        <v>0.37</v>
      </c>
      <c r="M34" s="394">
        <f t="shared" si="34"/>
        <v>0.37</v>
      </c>
      <c r="O34" s="42" t="s">
        <v>107</v>
      </c>
      <c r="P34" s="24" t="s">
        <v>36</v>
      </c>
      <c r="Q34" s="24" t="s">
        <v>52</v>
      </c>
      <c r="R34" s="23"/>
    </row>
    <row r="35" spans="1:26" x14ac:dyDescent="0.35">
      <c r="A35" s="133" t="str">
        <f>CONCATENATE("Cornell IDC Rate - ",B25)</f>
        <v>Cornell IDC Rate - Endowed College</v>
      </c>
      <c r="B35" s="394">
        <f t="shared" ref="B35:M35" si="35">IF($B26="Off",(HLOOKUP(B$31,FringeAndIDCRates,8,FALSE)),IF(AND($B$7="Other",$B26="On"),(HLOOKUP(B$31,FringeAndIDCRates,7,FALSE)),IF(AND($B26="On",$B25="Contract College",$B$7="Research"),(HLOOKUP(B$31,FringeAndIDCRates,5,FALSE)),(HLOOKUP(B$31,FringeAndIDCRates,6,FALSE)))))</f>
        <v>0.64</v>
      </c>
      <c r="C35" s="394">
        <f t="shared" si="35"/>
        <v>0.64</v>
      </c>
      <c r="D35" s="394">
        <f t="shared" si="35"/>
        <v>0.64</v>
      </c>
      <c r="E35" s="394">
        <f t="shared" si="35"/>
        <v>0.64</v>
      </c>
      <c r="F35" s="394">
        <f t="shared" si="35"/>
        <v>0.64</v>
      </c>
      <c r="G35" s="394">
        <f t="shared" si="35"/>
        <v>0.64</v>
      </c>
      <c r="H35" s="394">
        <f t="shared" si="35"/>
        <v>0.64</v>
      </c>
      <c r="I35" s="394">
        <f t="shared" si="35"/>
        <v>0.64</v>
      </c>
      <c r="J35" s="394">
        <f t="shared" si="35"/>
        <v>0.64</v>
      </c>
      <c r="K35" s="394">
        <f t="shared" si="35"/>
        <v>0.64</v>
      </c>
      <c r="L35" s="394">
        <f t="shared" si="35"/>
        <v>0.64</v>
      </c>
      <c r="M35" s="394">
        <f t="shared" si="35"/>
        <v>0.64</v>
      </c>
      <c r="O35" s="41" t="s">
        <v>46</v>
      </c>
      <c r="P35" s="33">
        <f>DATEDIF(B5,(DATE((YEAR(DATE(YEAR(B5),MONTH(B5)+6,1))),6,30)),"m")+1</f>
        <v>12</v>
      </c>
      <c r="Q35" s="417">
        <f>+P35/O37</f>
        <v>1</v>
      </c>
      <c r="R35" s="23"/>
    </row>
    <row r="36" spans="1:26" x14ac:dyDescent="0.35">
      <c r="A36" s="133" t="str">
        <f>IF($B$8="Yes","","Rate Allowed by Sponsor:")</f>
        <v/>
      </c>
      <c r="B36" s="160" t="str">
        <f t="shared" ref="B36:M36" si="36">IF($B$8="Yes","",IF($B$8="No",HLOOKUP(B$31,FringeAndIDCRates,9,FALSE),(HLOOKUP(B$31,FringeAndIDCRates,9,FALSE))))</f>
        <v/>
      </c>
      <c r="C36" s="160" t="str">
        <f t="shared" si="36"/>
        <v/>
      </c>
      <c r="D36" s="160" t="str">
        <f t="shared" si="36"/>
        <v/>
      </c>
      <c r="E36" s="160" t="str">
        <f t="shared" si="36"/>
        <v/>
      </c>
      <c r="F36" s="160" t="str">
        <f t="shared" si="36"/>
        <v/>
      </c>
      <c r="G36" s="160" t="str">
        <f t="shared" si="36"/>
        <v/>
      </c>
      <c r="H36" s="160" t="str">
        <f t="shared" si="36"/>
        <v/>
      </c>
      <c r="I36" s="160" t="str">
        <f t="shared" si="36"/>
        <v/>
      </c>
      <c r="J36" s="160" t="str">
        <f t="shared" si="36"/>
        <v/>
      </c>
      <c r="K36" s="160" t="str">
        <f t="shared" si="36"/>
        <v/>
      </c>
      <c r="L36" s="160" t="str">
        <f t="shared" si="36"/>
        <v/>
      </c>
      <c r="M36" s="160" t="str">
        <f t="shared" si="36"/>
        <v/>
      </c>
      <c r="O36" s="41" t="s">
        <v>47</v>
      </c>
      <c r="P36" s="33">
        <f>12-P35</f>
        <v>0</v>
      </c>
      <c r="Q36" s="417">
        <f>+P36/O37</f>
        <v>0</v>
      </c>
      <c r="R36" s="23"/>
    </row>
    <row r="37" spans="1:26" x14ac:dyDescent="0.35">
      <c r="B37" s="236"/>
      <c r="C37" s="53"/>
      <c r="D37" s="53"/>
      <c r="E37" s="53"/>
      <c r="F37" s="53"/>
      <c r="G37" s="53"/>
      <c r="O37" s="25">
        <f>SUM(P35:P36)</f>
        <v>12</v>
      </c>
      <c r="P37" s="25" t="s">
        <v>83</v>
      </c>
    </row>
    <row r="38" spans="1:26" ht="20" x14ac:dyDescent="0.4">
      <c r="A38" s="40" t="s">
        <v>55</v>
      </c>
      <c r="C38" s="104"/>
      <c r="D38" s="104"/>
      <c r="E38" s="104"/>
      <c r="F38" s="104"/>
      <c r="G38" s="104"/>
      <c r="H38" s="104"/>
    </row>
    <row r="39" spans="1:26" ht="15.5" x14ac:dyDescent="0.35">
      <c r="A39" s="105" t="s">
        <v>87</v>
      </c>
      <c r="B39" s="106" t="str">
        <f>IF(B42=$AE$5,$AE$8,IF(B42=$AF$5,$AF$8,IF(B42=$AG$5,$AG$8,IF(B42=$AH$5,$AH$8,IF(B42=$AI$5,$AI$8,IF(B42=$AJ$5,$AJ$8,IF(B42=$AK$5,$AK$8,IF(B42=$AL$5,$AL$8,IF(B42=$AM$5,$AM$8,IF(B42=$AN$5,$AN$8,IF(B42=$AO$5,$AO$8,IF(B42=$AP$5,$AP$8," "))))))))))))</f>
        <v xml:space="preserve"> </v>
      </c>
      <c r="C39" s="106" t="str">
        <f t="shared" ref="C39:M39" si="37">IF(C42=$AE$5,$AE$8,IF(C42=$AF$5,$AF$8,IF(C42=$AG$5,$AG$8,IF(C42=$AH$5,$AH$8,IF(C42=$AI$5,$AI$8,IF(C42=$AJ$5,$AJ$8,IF(C42=$AK$5,$AK$8,IF(C42=$AL$5,$AL$8,IF(C42=$AM$5,$AM$8,IF(C42=$AN$5,$AN$8,IF(C42=$AO$5,$AO$8,IF(C42=$AP$5,$AP$8," "))))))))))))</f>
        <v>2023-2024</v>
      </c>
      <c r="D39" s="106" t="str">
        <f t="shared" si="37"/>
        <v>2024-2025</v>
      </c>
      <c r="E39" s="106" t="str">
        <f t="shared" si="37"/>
        <v>2025-2026</v>
      </c>
      <c r="F39" s="106" t="str">
        <f t="shared" si="37"/>
        <v>2026-2027</v>
      </c>
      <c r="G39" s="106" t="str">
        <f t="shared" si="37"/>
        <v>2027-2028</v>
      </c>
      <c r="H39" s="106" t="str">
        <f t="shared" si="37"/>
        <v>2028-2029</v>
      </c>
      <c r="I39" s="106" t="str">
        <f t="shared" si="37"/>
        <v>2029-2030</v>
      </c>
      <c r="J39" s="106" t="str">
        <f t="shared" si="37"/>
        <v>2030-2031</v>
      </c>
      <c r="K39" s="106" t="str">
        <f t="shared" si="37"/>
        <v>2031-2032</v>
      </c>
      <c r="L39" s="106" t="str">
        <f t="shared" si="37"/>
        <v>2032-2033</v>
      </c>
      <c r="M39" s="106" t="str">
        <f t="shared" si="37"/>
        <v>2033-2034</v>
      </c>
      <c r="N39" s="106" t="str">
        <f t="shared" ref="N39" si="38">IF(N42=$AE$5,$AE$8,IF(N42=$AF$5,$AF$8,IF(N42=$AG$5,$AG$8,IF(N42=$AH$5,$AH$8,IF(N42=$AI$5,$AI$8,IF(N42=$AJ$5,$AJ$8,IF(N42=$AK$5,$AK$8,IF(N42=$AL$5,$AL$8,IF(N42=$AM$5,$AM$8,IF(N42=$AN$5,$AN$8,IF(N42=$AO$5,$AO$8,IF(N42=$AP$5,$AP$8," "))))))))))))</f>
        <v>2034-2035</v>
      </c>
    </row>
    <row r="41" spans="1:26" x14ac:dyDescent="0.35">
      <c r="A41" s="139" t="str">
        <f>CONCATENATE("Calculation based on ",O43," month salary")</f>
        <v>Calculation based on 9 month salary</v>
      </c>
      <c r="B41" s="104" t="str">
        <f t="shared" ref="B41:L41" si="39">IF(AND(B42=$AE$5,$O43=9),$AE$3,IF(AND(B42=$AF$5,$O43=9),$AF$3,IF(AND(B42=$AG$5,$O43=9),$AG$3,IF(AND(B42=$AH$5,$O43=9),$AH$3,IF(AND(B42=$AI$5,$O43=9),$AI$3,IF(AND(B42=$AJ$5,$O43=9),$AJ$3,IF(AND(B42=$AK$5,$O43=9),$AK$3,IF(AND(B42=$AL$5,$O43=9),$AL$3,IF(AND(B42=$AM$5,$O43=9),$AM$3,IF(AND(B42=$AN$5,$O43=9),$AN$3,IF(AND(B42=$AO$5,$O43=9),$AO$3,IF(AND(B42=$AP$5,$O43=9),$AJ$3,IF(AND(B42=$AE$4,$O43=12),$AE$3,IF(AND(B42=$AF$4,$O43=12),$AF$3,IF(AND(B42=$AG$4,$O43=12),$AG$3,IF(AND(B42=$AH$4,$O43=12),$AH$3,IF(AND(B42=$AI$4,$O43=12),$AI$3,IF(AND(B42=$AJ$4,$O43=12),$AJ$3,IF(AND(B42=$AK$4,$O43=12),$AK$3,IF(AND(B42=$AL$4,$O43=12),$AL$3,IF(AND(B42=$AM$4,$O43=12),$AM$3,IF(AND(B42=$AN$4,$O43=12),$AN$3,IF(AND(B42=$AO$4,$O43=12),$AO$3,IF(AND(B42=$AP$4,$O43=12),$AJ$3," "))))))))))))))))))))))))</f>
        <v xml:space="preserve"> </v>
      </c>
      <c r="C41" s="104" t="str">
        <f t="shared" si="39"/>
        <v>Year 1</v>
      </c>
      <c r="D41" s="104" t="str">
        <f t="shared" si="39"/>
        <v>Year 2</v>
      </c>
      <c r="E41" s="104" t="str">
        <f t="shared" si="39"/>
        <v>Year 3</v>
      </c>
      <c r="F41" s="104" t="str">
        <f t="shared" si="39"/>
        <v>Year 4</v>
      </c>
      <c r="G41" s="104" t="str">
        <f t="shared" si="39"/>
        <v>Year 5</v>
      </c>
      <c r="H41" s="104" t="str">
        <f t="shared" si="39"/>
        <v>Year 6</v>
      </c>
      <c r="I41" s="104" t="str">
        <f t="shared" si="39"/>
        <v>Year 7</v>
      </c>
      <c r="J41" s="104" t="str">
        <f t="shared" si="39"/>
        <v>Year 8</v>
      </c>
      <c r="K41" s="104" t="str">
        <f t="shared" si="39"/>
        <v>Year 9</v>
      </c>
      <c r="L41" s="104" t="str">
        <f t="shared" si="39"/>
        <v>Year 10</v>
      </c>
      <c r="M41" s="104" t="str">
        <f>IF(AND(M42=$AE$5,$O43=9),$AE$3,IF(AND(M42=$AF$5,$O43=9),$AF$3,IF(AND(M42=$AG$5,$O43=9),$AG$3,IF(AND(M42=$AH$5,$O43=9),$AH$3,IF(AND(M42=$AI$5,$O43=9),$AI$3,IF(AND(M42=$AJ$5,$O43=9),$AJ$3,IF(AND(M42=$AK$5,$O43=9),$AK$3,IF(AND(M42=$AL$5,$O43=9),$AL$3,IF(AND(M42=$AM$5,$O43=9),$AM$3,IF(AND(M42=$AN$5,$O43=9),$AN$3,IF(AND(M42=$AO$5,$O43=9),$AO$3,IF(AND(M42=$AP$5,$O43=9),$AP$3,IF(AND(M42=$AQ$5,$O43=9),$AJ$3,IF(AND(M42=$AE$4,$O43=12),$AE$3,IF(AND(M42=$AF$4,$O43=12),$AF$3,IF(AND(M42=$AG$4,$O43=12),$AG$3,IF(AND(M42=$AH$4,$O43=12),$AH$3,IF(AND(M42=$AI$4,$O43=12),$AI$3,IF(AND(M42=$AJ$4,$O43=12),$AJ$3,IF(AND(M42=$AK$4,$O43=12),$AK$3,IF(AND(M42=$AL$4,$O43=12),$AL$3,IF(AND(M42=$AM$4,$O43=12),$AM$3,IF(AND(M42=$AN$4,$O43=12),$AN$3,IF(AND(M42=$AO$4,$O43=12),$AO$3,IF(AND(M42=$AP$4,$O43=12),$AP$3,IF(AND(M42=$AQ$4,$O43=12),$AJ$3," "))))))))))))))))))))))))))</f>
        <v>Year 11</v>
      </c>
      <c r="N41" s="104" t="str">
        <f>IF(AND(N42=$AE$5,$O43=9),$AE$3,IF(AND(N42=$AF$5,$O43=9),$AF$3,IF(AND(N42=$AG$5,$O43=9),$AG$3,IF(AND(N42=$AH$5,$O43=9),$AH$3,IF(AND(N42=$AI$5,$O43=9),$AI$3,IF(AND(N42=$AJ$5,$O43=9),$AJ$3,IF(AND(N42=$AK$5,$O43=9),$AK$3,IF(AND(N42=$AL$5,$O43=9),$AL$3,IF(AND(N42=$AM$5,$O43=9),$AM$3,IF(AND(N42=$AN$5,$O43=9),$AN$3,IF(AND(N42=$AO$5,$O43=9),$AO$3,IF(AND(N42=$AP$5,$O43=9),$AP$3,IF(AND(N42=$AQ$5,$O43=9),$AJ$3,IF(AND(N42=$AE$4,$O43=12),$AE$3,IF(AND(N42=$AF$4,$O43=12),$AF$3,IF(AND(N42=$AG$4,$O43=12),$AG$3,IF(AND(N42=$AH$4,$O43=12),$AH$3,IF(AND(N42=$AI$4,$O43=12),$AI$3,IF(AND(N42=$AJ$4,$O43=12),$AJ$3,IF(AND(N42=$AK$4,$O43=12),$AK$3,IF(AND(N42=$AL$4,$O43=12),$AL$3,IF(AND(N42=$AM$4,$O43=12),$AM$3,IF(AND(N42=$AN$4,$O43=12),$AN$3,IF(AND(N42=$AO$4,$O43=12),$AO$3,IF(AND(N42=$AP$4,$O43=12),$AP$3,IF(AND(N42=$AQ$4,$O43=12),$AJ$3," "))))))))))))))))))))))))))</f>
        <v>Year 12</v>
      </c>
    </row>
    <row r="42" spans="1:26" x14ac:dyDescent="0.35">
      <c r="A42" s="140" t="str">
        <f>+B22</f>
        <v>PI</v>
      </c>
      <c r="B42" s="55" t="str">
        <f t="shared" ref="B42:I42" si="40">+N$2</f>
        <v>FY2023</v>
      </c>
      <c r="C42" s="55" t="str">
        <f t="shared" si="40"/>
        <v>FY2024</v>
      </c>
      <c r="D42" s="55" t="str">
        <f t="shared" si="40"/>
        <v>FY2025</v>
      </c>
      <c r="E42" s="55" t="str">
        <f t="shared" si="40"/>
        <v>FY2026</v>
      </c>
      <c r="F42" s="55" t="str">
        <f t="shared" si="40"/>
        <v>FY2027</v>
      </c>
      <c r="G42" s="55" t="str">
        <f t="shared" si="40"/>
        <v>FY2028</v>
      </c>
      <c r="H42" s="55" t="str">
        <f t="shared" si="40"/>
        <v>FY2029</v>
      </c>
      <c r="I42" s="55" t="str">
        <f t="shared" si="40"/>
        <v>FY2030</v>
      </c>
      <c r="J42" s="55" t="str">
        <f t="shared" ref="J42" si="41">+V$2</f>
        <v>FY2031</v>
      </c>
      <c r="K42" s="55" t="str">
        <f t="shared" ref="K42" si="42">+W$2</f>
        <v>FY2032</v>
      </c>
      <c r="L42" s="55" t="str">
        <f t="shared" ref="L42:N42" si="43">+X$2</f>
        <v>FY2033</v>
      </c>
      <c r="M42" s="55" t="str">
        <f t="shared" si="43"/>
        <v>FY2034</v>
      </c>
      <c r="N42" s="55" t="str">
        <f t="shared" si="43"/>
        <v>FY2035</v>
      </c>
      <c r="O42" s="32" t="s">
        <v>20</v>
      </c>
      <c r="P42" s="89" t="s">
        <v>64</v>
      </c>
      <c r="Q42" s="89"/>
    </row>
    <row r="43" spans="1:26" x14ac:dyDescent="0.35">
      <c r="A43" s="141" t="str">
        <f>CONCATENATE("Base Salary: ",O43," month term")</f>
        <v>Base Salary: 9 month term</v>
      </c>
      <c r="B43" s="385">
        <v>0</v>
      </c>
      <c r="C43" s="386">
        <f>ROUND(+B43*(1+$P$43),0)</f>
        <v>0</v>
      </c>
      <c r="D43" s="386">
        <f>ROUND(+C43*(1+$P$43),0)</f>
        <v>0</v>
      </c>
      <c r="E43" s="386">
        <f t="shared" ref="E43:N43" si="44">ROUND(+D43*(1+$P$43),0)</f>
        <v>0</v>
      </c>
      <c r="F43" s="386">
        <f t="shared" si="44"/>
        <v>0</v>
      </c>
      <c r="G43" s="386">
        <f t="shared" si="44"/>
        <v>0</v>
      </c>
      <c r="H43" s="386">
        <f t="shared" si="44"/>
        <v>0</v>
      </c>
      <c r="I43" s="386">
        <f t="shared" si="44"/>
        <v>0</v>
      </c>
      <c r="J43" s="386">
        <f t="shared" si="44"/>
        <v>0</v>
      </c>
      <c r="K43" s="386">
        <f t="shared" si="44"/>
        <v>0</v>
      </c>
      <c r="L43" s="386">
        <f t="shared" si="44"/>
        <v>0</v>
      </c>
      <c r="M43" s="386">
        <f t="shared" si="44"/>
        <v>0</v>
      </c>
      <c r="N43" s="386">
        <f t="shared" si="44"/>
        <v>0</v>
      </c>
      <c r="O43" s="311">
        <v>9</v>
      </c>
      <c r="P43" s="312">
        <v>0.03</v>
      </c>
      <c r="Q43" s="52"/>
    </row>
    <row r="44" spans="1:26" x14ac:dyDescent="0.35">
      <c r="A44" s="141" t="s">
        <v>44</v>
      </c>
      <c r="B44" s="313">
        <v>0</v>
      </c>
      <c r="C44" s="313">
        <v>0</v>
      </c>
      <c r="D44" s="313">
        <v>0</v>
      </c>
      <c r="E44" s="313">
        <v>0</v>
      </c>
      <c r="F44" s="313">
        <v>0</v>
      </c>
      <c r="G44" s="313">
        <v>0</v>
      </c>
      <c r="H44" s="313">
        <v>0</v>
      </c>
      <c r="I44" s="313">
        <v>0</v>
      </c>
      <c r="J44" s="313">
        <v>0</v>
      </c>
      <c r="K44" s="313">
        <v>0</v>
      </c>
      <c r="L44" s="313">
        <v>0</v>
      </c>
      <c r="M44" s="313">
        <v>0</v>
      </c>
      <c r="N44" s="313">
        <v>0</v>
      </c>
      <c r="O44" s="25"/>
      <c r="P44" s="25"/>
      <c r="Q44" s="25"/>
    </row>
    <row r="45" spans="1:26" x14ac:dyDescent="0.35">
      <c r="A45" s="141" t="str">
        <f>CONCATENATE("FTE for ",O43," Months")</f>
        <v>FTE for 9 Months</v>
      </c>
      <c r="B45" s="395">
        <f t="shared" ref="B45:M45" si="45">+B44/$O43</f>
        <v>0</v>
      </c>
      <c r="C45" s="395">
        <f t="shared" si="45"/>
        <v>0</v>
      </c>
      <c r="D45" s="395">
        <f t="shared" si="45"/>
        <v>0</v>
      </c>
      <c r="E45" s="395">
        <f t="shared" si="45"/>
        <v>0</v>
      </c>
      <c r="F45" s="395">
        <f t="shared" si="45"/>
        <v>0</v>
      </c>
      <c r="G45" s="395">
        <f t="shared" si="45"/>
        <v>0</v>
      </c>
      <c r="H45" s="395">
        <f t="shared" si="45"/>
        <v>0</v>
      </c>
      <c r="I45" s="395">
        <f t="shared" si="45"/>
        <v>0</v>
      </c>
      <c r="J45" s="395">
        <f t="shared" si="45"/>
        <v>0</v>
      </c>
      <c r="K45" s="395">
        <f t="shared" si="45"/>
        <v>0</v>
      </c>
      <c r="L45" s="395">
        <f t="shared" si="45"/>
        <v>0</v>
      </c>
      <c r="M45" s="395">
        <f t="shared" si="45"/>
        <v>0</v>
      </c>
      <c r="N45" s="395">
        <f t="shared" ref="N45" si="46">+N44/$O43</f>
        <v>0</v>
      </c>
      <c r="O45" s="89"/>
      <c r="P45" s="89"/>
      <c r="Q45" s="89"/>
    </row>
    <row r="46" spans="1:26" x14ac:dyDescent="0.35">
      <c r="A46" s="142" t="s">
        <v>56</v>
      </c>
      <c r="B46" s="396">
        <f t="shared" ref="B46:I46" si="47">+B44/12</f>
        <v>0</v>
      </c>
      <c r="C46" s="396">
        <f t="shared" si="47"/>
        <v>0</v>
      </c>
      <c r="D46" s="396">
        <f t="shared" si="47"/>
        <v>0</v>
      </c>
      <c r="E46" s="396">
        <f t="shared" si="47"/>
        <v>0</v>
      </c>
      <c r="F46" s="396">
        <f t="shared" si="47"/>
        <v>0</v>
      </c>
      <c r="G46" s="396">
        <f t="shared" si="47"/>
        <v>0</v>
      </c>
      <c r="H46" s="396">
        <f t="shared" ref="H46" si="48">+H44/12</f>
        <v>0</v>
      </c>
      <c r="I46" s="396">
        <f t="shared" si="47"/>
        <v>0</v>
      </c>
      <c r="J46" s="396">
        <f t="shared" ref="J46:L46" si="49">+J44/12</f>
        <v>0</v>
      </c>
      <c r="K46" s="396">
        <f t="shared" si="49"/>
        <v>0</v>
      </c>
      <c r="L46" s="396">
        <f t="shared" si="49"/>
        <v>0</v>
      </c>
      <c r="M46" s="396">
        <f t="shared" ref="M46:N46" si="50">+M44/12</f>
        <v>0</v>
      </c>
      <c r="N46" s="396">
        <f t="shared" si="50"/>
        <v>0</v>
      </c>
      <c r="O46" s="89"/>
      <c r="P46" s="89"/>
      <c r="Q46" s="89"/>
    </row>
    <row r="47" spans="1:26" x14ac:dyDescent="0.35">
      <c r="A47" s="141" t="s">
        <v>21</v>
      </c>
      <c r="B47" s="110">
        <f t="shared" ref="B47:K47" si="51">IF($O43=9,ROUND(B43*B45,0),IF($O43=12,ROUND((B43*B45*$Q$35)+(C43*B45*$Q$36),0),0))</f>
        <v>0</v>
      </c>
      <c r="C47" s="110">
        <f t="shared" si="51"/>
        <v>0</v>
      </c>
      <c r="D47" s="110">
        <f t="shared" si="51"/>
        <v>0</v>
      </c>
      <c r="E47" s="110">
        <f t="shared" si="51"/>
        <v>0</v>
      </c>
      <c r="F47" s="110">
        <f t="shared" si="51"/>
        <v>0</v>
      </c>
      <c r="G47" s="110">
        <f t="shared" si="51"/>
        <v>0</v>
      </c>
      <c r="H47" s="110">
        <f t="shared" si="51"/>
        <v>0</v>
      </c>
      <c r="I47" s="110">
        <f t="shared" si="51"/>
        <v>0</v>
      </c>
      <c r="J47" s="110">
        <f t="shared" si="51"/>
        <v>0</v>
      </c>
      <c r="K47" s="110">
        <f t="shared" si="51"/>
        <v>0</v>
      </c>
      <c r="L47" s="110">
        <f>IF($O43=9,ROUND(L43*L45,0),IF($O43=12,ROUND((L43*L45*$Q$35)+(O43*L45*$Q$36),0),0))</f>
        <v>0</v>
      </c>
      <c r="M47" s="110">
        <f>IF($O43=9,ROUND(M43*M45,0),IF($O43=12,ROUND((M43*M45*$Q$35)+(P43*M45*$Q$36),0),0))</f>
        <v>0</v>
      </c>
      <c r="N47" s="110">
        <f>IF($O43=9,ROUND(N43*N45,0),IF($O43=12,ROUND((N43*N45*$Q$35)+(Q43*N45*$Q$36),0),0))</f>
        <v>0</v>
      </c>
      <c r="O47" s="89"/>
      <c r="P47" s="89"/>
      <c r="Q47" s="89"/>
      <c r="X47" s="53"/>
      <c r="Z47" s="26"/>
    </row>
    <row r="48" spans="1:26" x14ac:dyDescent="0.35">
      <c r="A48" s="143"/>
      <c r="O48" s="89"/>
      <c r="P48" s="89"/>
      <c r="Q48" s="89"/>
      <c r="X48" s="53"/>
      <c r="Z48" s="26"/>
    </row>
    <row r="49" spans="1:33" x14ac:dyDescent="0.35">
      <c r="A49" s="139" t="str">
        <f>CONCATENATE("Calculation based on ",O51," month salary")</f>
        <v>Calculation based on 9 month salary</v>
      </c>
      <c r="B49" s="104" t="str">
        <f t="shared" ref="B49:L49" si="52">IF(AND(B50=$AE$5,$O51=9),$AE$3,IF(AND(B50=$AF$5,$O51=9),$AF$3,IF(AND(B50=$AG$5,$O51=9),$AG$3,IF(AND(B50=$AH$5,$O51=9),$AH$3,IF(AND(B50=$AI$5,$O51=9),$AI$3,IF(AND(B50=$AJ$5,$O51=9),$AJ$3,IF(AND(B50=$AK$5,$O51=9),$AK$3,IF(AND(B50=$AL$5,$O51=9),$AL$3,IF(AND(B50=$AM$5,$O51=9),$AM$3,IF(AND(B50=$AN$5,$O51=9),$AN$3,IF(AND(B50=$AO$5,$O51=9),$AO$3,IF(AND(B50=$AP$5,$O51=9),$AJ$3,IF(AND(B50=$AE$4,$O51=12),$AE$3,IF(AND(B50=$AF$4,$O51=12),$AF$3,IF(AND(B50=$AG$4,$O51=12),$AG$3,IF(AND(B50=$AH$4,$O51=12),$AH$3,IF(AND(B50=$AI$4,$O51=12),$AI$3,IF(AND(B50=$AJ$4,$O51=12),$AJ$3,IF(AND(B50=$AK$4,$O51=12),$AK$3,IF(AND(B50=$AL$4,$O51=12),$AL$3,IF(AND(B50=$AM$4,$O51=12),$AM$3,IF(AND(B50=$AN$4,$O51=12),$AN$3,IF(AND(B50=$AO$4,$O51=12),$AO$3,IF(AND(B50=$AP$4,$O51=12),$AJ$3," "))))))))))))))))))))))))</f>
        <v xml:space="preserve"> </v>
      </c>
      <c r="C49" s="104" t="str">
        <f t="shared" si="52"/>
        <v>Year 1</v>
      </c>
      <c r="D49" s="104" t="str">
        <f t="shared" si="52"/>
        <v>Year 2</v>
      </c>
      <c r="E49" s="104" t="str">
        <f t="shared" si="52"/>
        <v>Year 3</v>
      </c>
      <c r="F49" s="104" t="str">
        <f t="shared" si="52"/>
        <v>Year 4</v>
      </c>
      <c r="G49" s="104" t="str">
        <f t="shared" si="52"/>
        <v>Year 5</v>
      </c>
      <c r="H49" s="104" t="str">
        <f t="shared" si="52"/>
        <v>Year 6</v>
      </c>
      <c r="I49" s="104" t="str">
        <f t="shared" si="52"/>
        <v>Year 7</v>
      </c>
      <c r="J49" s="104" t="str">
        <f t="shared" si="52"/>
        <v>Year 8</v>
      </c>
      <c r="K49" s="104" t="str">
        <f t="shared" si="52"/>
        <v>Year 9</v>
      </c>
      <c r="L49" s="104" t="str">
        <f t="shared" si="52"/>
        <v>Year 10</v>
      </c>
      <c r="M49" s="104" t="str">
        <f>IF(AND(M50=$AE$5,$O51=9),$AE$3,IF(AND(M50=$AF$5,$O51=9),$AF$3,IF(AND(M50=$AG$5,$O51=9),$AG$3,IF(AND(M50=$AH$5,$O51=9),$AH$3,IF(AND(M50=$AI$5,$O51=9),$AI$3,IF(AND(M50=$AJ$5,$O51=9),$AJ$3,IF(AND(M50=$AK$5,$O51=9),$AK$3,IF(AND(M50=$AL$5,$O51=9),$AL$3,IF(AND(M50=$AM$5,$O51=9),$AM$3,IF(AND(M50=$AN$5,$O51=9),$AN$3,IF(AND(M50=$AO$5,$O51=9),$AO$3,IF(AND(M50=$AP$5,$O51=9),$AP$3,IF(AND(M50=$AQ$5,$O51=9),$AJ$3,IF(AND(M50=$AE$4,$O51=12),$AE$3,IF(AND(M50=$AF$4,$O51=12),$AF$3,IF(AND(M50=$AG$4,$O51=12),$AG$3,IF(AND(M50=$AH$4,$O51=12),$AH$3,IF(AND(M50=$AI$4,$O51=12),$AI$3,IF(AND(M50=$AJ$4,$O51=12),$AJ$3,IF(AND(M50=$AK$4,$O51=12),$AK$3,IF(AND(M50=$AL$4,$O51=12),$AL$3,IF(AND(M50=$AM$4,$O51=12),$AM$3,IF(AND(M50=$AN$4,$O51=12),$AN$3,IF(AND(M50=$AO$4,$O51=12),$AO$3,IF(AND(M50=$AP$4,$O51=12),$AP$3,IF(AND(M50=$AQ$4,$O51=12),$AJ$3," "))))))))))))))))))))))))))</f>
        <v>Year 11</v>
      </c>
      <c r="N49" s="104" t="str">
        <f>IF(AND(N50=$AE$5,$O51=9),$AE$3,IF(AND(N50=$AF$5,$O51=9),$AF$3,IF(AND(N50=$AG$5,$O51=9),$AG$3,IF(AND(N50=$AH$5,$O51=9),$AH$3,IF(AND(N50=$AI$5,$O51=9),$AI$3,IF(AND(N50=$AJ$5,$O51=9),$AJ$3,IF(AND(N50=$AK$5,$O51=9),$AK$3,IF(AND(N50=$AL$5,$O51=9),$AL$3,IF(AND(N50=$AM$5,$O51=9),$AM$3,IF(AND(N50=$AN$5,$O51=9),$AN$3,IF(AND(N50=$AO$5,$O51=9),$AO$3,IF(AND(N50=$AP$5,$O51=9),$AP$3,IF(AND(N50=$AQ$5,$O51=9),$AJ$3,IF(AND(N50=$AE$4,$O51=12),$AE$3,IF(AND(N50=$AF$4,$O51=12),$AF$3,IF(AND(N50=$AG$4,$O51=12),$AG$3,IF(AND(N50=$AH$4,$O51=12),$AH$3,IF(AND(N50=$AI$4,$O51=12),$AI$3,IF(AND(N50=$AJ$4,$O51=12),$AJ$3,IF(AND(N50=$AK$4,$O51=12),$AK$3,IF(AND(N50=$AL$4,$O51=12),$AL$3,IF(AND(N50=$AM$4,$O51=12),$AM$3,IF(AND(N50=$AN$4,$O51=12),$AN$3,IF(AND(N50=$AO$4,$O51=12),$AO$3,IF(AND(N50=$AP$4,$O51=12),$AP$3,IF(AND(N50=$AQ$4,$O51=12),$AJ$3," "))))))))))))))))))))))))))</f>
        <v>Year 12</v>
      </c>
      <c r="O49" s="89"/>
      <c r="P49" s="89"/>
      <c r="Q49" s="89"/>
      <c r="V49" s="23"/>
    </row>
    <row r="50" spans="1:33" x14ac:dyDescent="0.35">
      <c r="A50" s="140" t="str">
        <f>+B23</f>
        <v>Co-PI</v>
      </c>
      <c r="B50" s="55" t="str">
        <f t="shared" ref="B50:I50" si="53">+N$2</f>
        <v>FY2023</v>
      </c>
      <c r="C50" s="55" t="str">
        <f t="shared" si="53"/>
        <v>FY2024</v>
      </c>
      <c r="D50" s="55" t="str">
        <f t="shared" si="53"/>
        <v>FY2025</v>
      </c>
      <c r="E50" s="55" t="str">
        <f t="shared" si="53"/>
        <v>FY2026</v>
      </c>
      <c r="F50" s="55" t="str">
        <f t="shared" si="53"/>
        <v>FY2027</v>
      </c>
      <c r="G50" s="55" t="str">
        <f t="shared" si="53"/>
        <v>FY2028</v>
      </c>
      <c r="H50" s="55" t="str">
        <f t="shared" si="53"/>
        <v>FY2029</v>
      </c>
      <c r="I50" s="55" t="str">
        <f t="shared" si="53"/>
        <v>FY2030</v>
      </c>
      <c r="J50" s="55" t="str">
        <f t="shared" ref="J50" si="54">+V$2</f>
        <v>FY2031</v>
      </c>
      <c r="K50" s="55" t="str">
        <f t="shared" ref="K50" si="55">+W$2</f>
        <v>FY2032</v>
      </c>
      <c r="L50" s="55" t="str">
        <f t="shared" ref="L50" si="56">+X$2</f>
        <v>FY2033</v>
      </c>
      <c r="M50" s="55" t="str">
        <f t="shared" ref="M50:N50" si="57">+Y$2</f>
        <v>FY2034</v>
      </c>
      <c r="N50" s="55" t="str">
        <f t="shared" si="57"/>
        <v>FY2035</v>
      </c>
      <c r="O50" s="32" t="s">
        <v>20</v>
      </c>
      <c r="P50" s="89" t="s">
        <v>64</v>
      </c>
      <c r="Q50" s="89"/>
      <c r="V50" s="23"/>
    </row>
    <row r="51" spans="1:33" x14ac:dyDescent="0.35">
      <c r="A51" s="141" t="str">
        <f>CONCATENATE("Base Salary: ",O51," month term")</f>
        <v>Base Salary: 9 month term</v>
      </c>
      <c r="B51" s="385">
        <v>0</v>
      </c>
      <c r="C51" s="386">
        <f>ROUND(+B51*(1+$P$51),0)</f>
        <v>0</v>
      </c>
      <c r="D51" s="386">
        <f t="shared" ref="D51:N51" si="58">ROUND(+C51*(1+$P$51),0)</f>
        <v>0</v>
      </c>
      <c r="E51" s="386">
        <f t="shared" si="58"/>
        <v>0</v>
      </c>
      <c r="F51" s="386">
        <f t="shared" si="58"/>
        <v>0</v>
      </c>
      <c r="G51" s="386">
        <f t="shared" si="58"/>
        <v>0</v>
      </c>
      <c r="H51" s="386">
        <f t="shared" si="58"/>
        <v>0</v>
      </c>
      <c r="I51" s="386">
        <f t="shared" si="58"/>
        <v>0</v>
      </c>
      <c r="J51" s="386">
        <f t="shared" si="58"/>
        <v>0</v>
      </c>
      <c r="K51" s="386">
        <f t="shared" si="58"/>
        <v>0</v>
      </c>
      <c r="L51" s="386">
        <f t="shared" si="58"/>
        <v>0</v>
      </c>
      <c r="M51" s="386">
        <f t="shared" si="58"/>
        <v>0</v>
      </c>
      <c r="N51" s="386">
        <f t="shared" si="58"/>
        <v>0</v>
      </c>
      <c r="O51" s="311">
        <v>9</v>
      </c>
      <c r="P51" s="312">
        <v>0.03</v>
      </c>
      <c r="Q51" s="52"/>
      <c r="T51" s="23"/>
      <c r="V51" s="23"/>
    </row>
    <row r="52" spans="1:33" x14ac:dyDescent="0.35">
      <c r="A52" s="141" t="s">
        <v>44</v>
      </c>
      <c r="B52" s="313">
        <v>0</v>
      </c>
      <c r="C52" s="313">
        <v>0</v>
      </c>
      <c r="D52" s="313">
        <v>0</v>
      </c>
      <c r="E52" s="313">
        <v>0</v>
      </c>
      <c r="F52" s="313">
        <v>0</v>
      </c>
      <c r="G52" s="313">
        <v>0</v>
      </c>
      <c r="H52" s="313">
        <v>0</v>
      </c>
      <c r="I52" s="313">
        <v>0</v>
      </c>
      <c r="J52" s="313">
        <v>0</v>
      </c>
      <c r="K52" s="313">
        <v>0</v>
      </c>
      <c r="L52" s="313">
        <v>0</v>
      </c>
      <c r="M52" s="313">
        <v>0</v>
      </c>
      <c r="N52" s="313">
        <v>0</v>
      </c>
      <c r="O52" s="25"/>
      <c r="P52" s="25"/>
      <c r="Q52" s="25"/>
      <c r="T52" s="23"/>
    </row>
    <row r="53" spans="1:33" x14ac:dyDescent="0.35">
      <c r="A53" s="141" t="str">
        <f>CONCATENATE("FTE for ",O51," Months")</f>
        <v>FTE for 9 Months</v>
      </c>
      <c r="B53" s="395">
        <f t="shared" ref="B53:M53" si="59">+B52/$O51</f>
        <v>0</v>
      </c>
      <c r="C53" s="395">
        <f t="shared" si="59"/>
        <v>0</v>
      </c>
      <c r="D53" s="395">
        <f t="shared" si="59"/>
        <v>0</v>
      </c>
      <c r="E53" s="395">
        <f t="shared" si="59"/>
        <v>0</v>
      </c>
      <c r="F53" s="395">
        <f t="shared" si="59"/>
        <v>0</v>
      </c>
      <c r="G53" s="395">
        <f t="shared" si="59"/>
        <v>0</v>
      </c>
      <c r="H53" s="395">
        <f t="shared" si="59"/>
        <v>0</v>
      </c>
      <c r="I53" s="395">
        <f t="shared" si="59"/>
        <v>0</v>
      </c>
      <c r="J53" s="395">
        <f t="shared" si="59"/>
        <v>0</v>
      </c>
      <c r="K53" s="395">
        <f t="shared" si="59"/>
        <v>0</v>
      </c>
      <c r="L53" s="395">
        <f t="shared" si="59"/>
        <v>0</v>
      </c>
      <c r="M53" s="395">
        <f t="shared" si="59"/>
        <v>0</v>
      </c>
      <c r="N53" s="395">
        <f t="shared" ref="N53" si="60">+N52/$O51</f>
        <v>0</v>
      </c>
      <c r="O53" s="89"/>
      <c r="P53" s="89"/>
      <c r="Q53" s="89"/>
      <c r="T53" s="23"/>
    </row>
    <row r="54" spans="1:33" x14ac:dyDescent="0.35">
      <c r="A54" s="142" t="s">
        <v>56</v>
      </c>
      <c r="B54" s="396">
        <f>+B52/12</f>
        <v>0</v>
      </c>
      <c r="C54" s="396">
        <f>+C52/12</f>
        <v>0</v>
      </c>
      <c r="D54" s="396">
        <f t="shared" ref="D54:I54" si="61">+D52/12</f>
        <v>0</v>
      </c>
      <c r="E54" s="396">
        <f t="shared" si="61"/>
        <v>0</v>
      </c>
      <c r="F54" s="396">
        <f t="shared" si="61"/>
        <v>0</v>
      </c>
      <c r="G54" s="396">
        <f t="shared" si="61"/>
        <v>0</v>
      </c>
      <c r="H54" s="396">
        <f t="shared" ref="H54" si="62">+H52/12</f>
        <v>0</v>
      </c>
      <c r="I54" s="396">
        <f t="shared" si="61"/>
        <v>0</v>
      </c>
      <c r="J54" s="396">
        <f t="shared" ref="J54:L54" si="63">+J52/12</f>
        <v>0</v>
      </c>
      <c r="K54" s="396">
        <f t="shared" si="63"/>
        <v>0</v>
      </c>
      <c r="L54" s="396">
        <f t="shared" si="63"/>
        <v>0</v>
      </c>
      <c r="M54" s="396">
        <f t="shared" ref="M54:N54" si="64">+M52/12</f>
        <v>0</v>
      </c>
      <c r="N54" s="396">
        <f t="shared" si="64"/>
        <v>0</v>
      </c>
      <c r="O54" s="89"/>
      <c r="P54" s="89"/>
      <c r="Q54" s="89"/>
      <c r="T54" s="23"/>
    </row>
    <row r="55" spans="1:33" x14ac:dyDescent="0.35">
      <c r="A55" s="141" t="s">
        <v>21</v>
      </c>
      <c r="B55" s="110">
        <f t="shared" ref="B55:K55" si="65">IF($O51=9,ROUND(B51*B53,0),IF($O51=12,ROUND((B51*B53*$Q$35)+(C51*B53*$Q$36),0),0))</f>
        <v>0</v>
      </c>
      <c r="C55" s="110">
        <f t="shared" si="65"/>
        <v>0</v>
      </c>
      <c r="D55" s="110">
        <f t="shared" si="65"/>
        <v>0</v>
      </c>
      <c r="E55" s="110">
        <f t="shared" si="65"/>
        <v>0</v>
      </c>
      <c r="F55" s="110">
        <f t="shared" si="65"/>
        <v>0</v>
      </c>
      <c r="G55" s="110">
        <f t="shared" si="65"/>
        <v>0</v>
      </c>
      <c r="H55" s="110">
        <f t="shared" si="65"/>
        <v>0</v>
      </c>
      <c r="I55" s="110">
        <f t="shared" si="65"/>
        <v>0</v>
      </c>
      <c r="J55" s="110">
        <f t="shared" si="65"/>
        <v>0</v>
      </c>
      <c r="K55" s="110">
        <f t="shared" si="65"/>
        <v>0</v>
      </c>
      <c r="L55" s="110">
        <f>IF($O51=9,ROUND(L51*L53,0),IF($O51=12,ROUND((L51*L53*$Q$35)+(N51*L53*$Q$36),0),0))</f>
        <v>0</v>
      </c>
      <c r="M55" s="110">
        <f>IF($O51=9,ROUND(M51*M53,0),IF($O51=12,ROUND((M51*M53*$Q$35)+(O51*M53*$Q$36),0),0))</f>
        <v>0</v>
      </c>
      <c r="N55" s="110">
        <f>IF($O51=9,ROUND(N51*N53,0),IF($O51=12,ROUND((N51*N53*$Q$35)+(P51*N53*$Q$36),0),0))</f>
        <v>0</v>
      </c>
      <c r="O55" s="89"/>
      <c r="P55" s="89"/>
      <c r="Q55" s="89"/>
      <c r="T55" s="23"/>
    </row>
    <row r="56" spans="1:33" x14ac:dyDescent="0.35">
      <c r="A56" s="141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89"/>
      <c r="P56" s="89"/>
      <c r="Q56" s="89"/>
      <c r="R56" s="26"/>
      <c r="S56" s="23"/>
      <c r="T56" s="23"/>
      <c r="U56" s="23"/>
      <c r="V56" s="23"/>
      <c r="W56" s="23"/>
      <c r="X56" s="23"/>
      <c r="Y56" s="23"/>
    </row>
    <row r="57" spans="1:33" x14ac:dyDescent="0.35">
      <c r="A57" s="139" t="str">
        <f>CONCATENATE("Calculation based on ",O59," month salary")</f>
        <v>Calculation based on 9 month salary</v>
      </c>
      <c r="B57" s="104" t="str">
        <f t="shared" ref="B57:L57" si="66">IF(AND(B58=$AE$5,$O59=9),$AE$3,IF(AND(B58=$AF$5,$O59=9),$AF$3,IF(AND(B58=$AG$5,$O59=9),$AG$3,IF(AND(B58=$AH$5,$O59=9),$AH$3,IF(AND(B58=$AI$5,$O59=9),$AI$3,IF(AND(B58=$AJ$5,$O59=9),$AJ$3,IF(AND(B58=$AK$5,$O59=9),$AK$3,IF(AND(B58=$AL$5,$O59=9),$AL$3,IF(AND(B58=$AM$5,$O59=9),$AM$3,IF(AND(B58=$AN$5,$O59=9),$AN$3,IF(AND(B58=$AO$5,$O59=9),$AO$3,IF(AND(B58=$AP$5,$O59=9),$AJ$3,IF(AND(B58=$AE$4,$O59=12),$AE$3,IF(AND(B58=$AF$4,$O59=12),$AF$3,IF(AND(B58=$AG$4,$O59=12),$AG$3,IF(AND(B58=$AH$4,$O59=12),$AH$3,IF(AND(B58=$AI$4,$O59=12),$AI$3,IF(AND(B58=$AJ$4,$O59=12),$AJ$3,IF(AND(B58=$AK$4,$O59=12),$AK$3,IF(AND(B58=$AL$4,$O59=12),$AL$3,IF(AND(B58=$AM$4,$O59=12),$AM$3,IF(AND(B58=$AN$4,$O59=12),$AN$3,IF(AND(B58=$AO$4,$O59=12),$AO$3,IF(AND(B58=$AP$4,$O59=12),$AJ$3," "))))))))))))))))))))))))</f>
        <v xml:space="preserve"> </v>
      </c>
      <c r="C57" s="104" t="str">
        <f t="shared" si="66"/>
        <v>Year 1</v>
      </c>
      <c r="D57" s="104" t="str">
        <f t="shared" si="66"/>
        <v>Year 2</v>
      </c>
      <c r="E57" s="104" t="str">
        <f t="shared" si="66"/>
        <v>Year 3</v>
      </c>
      <c r="F57" s="104" t="str">
        <f t="shared" si="66"/>
        <v>Year 4</v>
      </c>
      <c r="G57" s="104" t="str">
        <f t="shared" si="66"/>
        <v>Year 5</v>
      </c>
      <c r="H57" s="104" t="str">
        <f t="shared" si="66"/>
        <v>Year 6</v>
      </c>
      <c r="I57" s="104" t="str">
        <f t="shared" si="66"/>
        <v>Year 7</v>
      </c>
      <c r="J57" s="104" t="str">
        <f t="shared" si="66"/>
        <v>Year 8</v>
      </c>
      <c r="K57" s="104" t="str">
        <f t="shared" si="66"/>
        <v>Year 9</v>
      </c>
      <c r="L57" s="104" t="str">
        <f t="shared" si="66"/>
        <v>Year 10</v>
      </c>
      <c r="M57" s="104" t="str">
        <f>IF(AND(M58=$AE$5,$O59=9),$AE$3,IF(AND(M58=$AF$5,$O59=9),$AF$3,IF(AND(M58=$AG$5,$O59=9),$AG$3,IF(AND(M58=$AH$5,$O59=9),$AH$3,IF(AND(M58=$AI$5,$O59=9),$AI$3,IF(AND(M58=$AJ$5,$O59=9),$AJ$3,IF(AND(M58=$AK$5,$O59=9),$AK$3,IF(AND(M58=$AL$5,$O59=9),$AL$3,IF(AND(M58=$AM$5,$O59=9),$AM$3,IF(AND(M58=$AN$5,$O59=9),$AN$3,IF(AND(M58=$AO$5,$O59=9),$AO$3,IF(AND(M58=$AP$5,$O59=9),$AP$3,IF(AND(M58=$AQ$5,$O59=9),$AJ$3,IF(AND(M58=$AE$4,$O59=12),$AE$3,IF(AND(M58=$AF$4,$O59=12),$AF$3,IF(AND(M58=$AG$4,$O59=12),$AG$3,IF(AND(M58=$AH$4,$O59=12),$AH$3,IF(AND(M58=$AI$4,$O59=12),$AI$3,IF(AND(M58=$AJ$4,$O59=12),$AJ$3,IF(AND(M58=$AK$4,$O59=12),$AK$3,IF(AND(M58=$AL$4,$O59=12),$AL$3,IF(AND(M58=$AM$4,$O59=12),$AM$3,IF(AND(M58=$AN$4,$O59=12),$AN$3,IF(AND(M58=$AO$4,$O59=12),$AO$3,IF(AND(M58=$AP$4,$O59=12),$AP$3,IF(AND(M58=$AQ$4,$O59=12),$AJ$3," "))))))))))))))))))))))))))</f>
        <v>Year 11</v>
      </c>
      <c r="N57" s="104" t="str">
        <f>IF(AND(N58=$AE$5,$O59=9),$AE$3,IF(AND(N58=$AF$5,$O59=9),$AF$3,IF(AND(N58=$AG$5,$O59=9),$AG$3,IF(AND(N58=$AH$5,$O59=9),$AH$3,IF(AND(N58=$AI$5,$O59=9),$AI$3,IF(AND(N58=$AJ$5,$O59=9),$AJ$3,IF(AND(N58=$AK$5,$O59=9),$AK$3,IF(AND(N58=$AL$5,$O59=9),$AL$3,IF(AND(N58=$AM$5,$O59=9),$AM$3,IF(AND(N58=$AN$5,$O59=9),$AN$3,IF(AND(N58=$AO$5,$O59=9),$AO$3,IF(AND(N58=$AP$5,$O59=9),$AP$3,IF(AND(N58=$AQ$5,$O59=9),$AJ$3,IF(AND(N58=$AE$4,$O59=12),$AE$3,IF(AND(N58=$AF$4,$O59=12),$AF$3,IF(AND(N58=$AG$4,$O59=12),$AG$3,IF(AND(N58=$AH$4,$O59=12),$AH$3,IF(AND(N58=$AI$4,$O59=12),$AI$3,IF(AND(N58=$AJ$4,$O59=12),$AJ$3,IF(AND(N58=$AK$4,$O59=12),$AK$3,IF(AND(N58=$AL$4,$O59=12),$AL$3,IF(AND(N58=$AM$4,$O59=12),$AM$3,IF(AND(N58=$AN$4,$O59=12),$AN$3,IF(AND(N58=$AO$4,$O59=12),$AO$3,IF(AND(N58=$AP$4,$O59=12),$AP$3,IF(AND(N58=$AQ$4,$O59=12),$AJ$3," "))))))))))))))))))))))))))</f>
        <v>Year 12</v>
      </c>
      <c r="O57" s="89"/>
      <c r="P57" s="89"/>
      <c r="Q57" s="89"/>
      <c r="Y57" s="23"/>
    </row>
    <row r="58" spans="1:33" x14ac:dyDescent="0.35">
      <c r="A58" s="140" t="str">
        <f>+B24</f>
        <v>Co-PI</v>
      </c>
      <c r="B58" s="55" t="str">
        <f t="shared" ref="B58:I58" si="67">+N$2</f>
        <v>FY2023</v>
      </c>
      <c r="C58" s="55" t="str">
        <f t="shared" si="67"/>
        <v>FY2024</v>
      </c>
      <c r="D58" s="55" t="str">
        <f t="shared" si="67"/>
        <v>FY2025</v>
      </c>
      <c r="E58" s="55" t="str">
        <f t="shared" si="67"/>
        <v>FY2026</v>
      </c>
      <c r="F58" s="55" t="str">
        <f t="shared" si="67"/>
        <v>FY2027</v>
      </c>
      <c r="G58" s="55" t="str">
        <f t="shared" si="67"/>
        <v>FY2028</v>
      </c>
      <c r="H58" s="55" t="str">
        <f t="shared" si="67"/>
        <v>FY2029</v>
      </c>
      <c r="I58" s="55" t="str">
        <f t="shared" si="67"/>
        <v>FY2030</v>
      </c>
      <c r="J58" s="55" t="str">
        <f t="shared" ref="J58" si="68">+V$2</f>
        <v>FY2031</v>
      </c>
      <c r="K58" s="55" t="str">
        <f t="shared" ref="K58" si="69">+W$2</f>
        <v>FY2032</v>
      </c>
      <c r="L58" s="55" t="str">
        <f t="shared" ref="L58" si="70">+X$2</f>
        <v>FY2033</v>
      </c>
      <c r="M58" s="55" t="str">
        <f t="shared" ref="M58:N58" si="71">+Y$2</f>
        <v>FY2034</v>
      </c>
      <c r="N58" s="55" t="str">
        <f t="shared" si="71"/>
        <v>FY2035</v>
      </c>
      <c r="O58" s="32" t="s">
        <v>20</v>
      </c>
      <c r="P58" s="89" t="s">
        <v>64</v>
      </c>
      <c r="Q58" s="89"/>
      <c r="Y58" s="23"/>
    </row>
    <row r="59" spans="1:33" x14ac:dyDescent="0.35">
      <c r="A59" s="141" t="str">
        <f>CONCATENATE("Base Salary: ",O59," month term")</f>
        <v>Base Salary: 9 month term</v>
      </c>
      <c r="B59" s="385">
        <v>0</v>
      </c>
      <c r="C59" s="386">
        <f>ROUND(+B59*(1+$P$59),0)</f>
        <v>0</v>
      </c>
      <c r="D59" s="386">
        <f t="shared" ref="D59:N59" si="72">ROUND(+C59*(1+$P$59),0)</f>
        <v>0</v>
      </c>
      <c r="E59" s="386">
        <f t="shared" si="72"/>
        <v>0</v>
      </c>
      <c r="F59" s="386">
        <f t="shared" si="72"/>
        <v>0</v>
      </c>
      <c r="G59" s="386">
        <f t="shared" si="72"/>
        <v>0</v>
      </c>
      <c r="H59" s="386">
        <f t="shared" si="72"/>
        <v>0</v>
      </c>
      <c r="I59" s="386">
        <f t="shared" si="72"/>
        <v>0</v>
      </c>
      <c r="J59" s="386">
        <f t="shared" si="72"/>
        <v>0</v>
      </c>
      <c r="K59" s="386">
        <f t="shared" si="72"/>
        <v>0</v>
      </c>
      <c r="L59" s="386">
        <f t="shared" si="72"/>
        <v>0</v>
      </c>
      <c r="M59" s="386">
        <f t="shared" si="72"/>
        <v>0</v>
      </c>
      <c r="N59" s="386">
        <f t="shared" si="72"/>
        <v>0</v>
      </c>
      <c r="O59" s="311">
        <v>9</v>
      </c>
      <c r="P59" s="312">
        <v>0.03</v>
      </c>
      <c r="Q59" s="52"/>
    </row>
    <row r="60" spans="1:33" x14ac:dyDescent="0.35">
      <c r="A60" s="141" t="s">
        <v>44</v>
      </c>
      <c r="B60" s="313">
        <v>0</v>
      </c>
      <c r="C60" s="313">
        <v>0</v>
      </c>
      <c r="D60" s="313">
        <v>0</v>
      </c>
      <c r="E60" s="313">
        <v>0</v>
      </c>
      <c r="F60" s="313">
        <v>0</v>
      </c>
      <c r="G60" s="313">
        <v>0</v>
      </c>
      <c r="H60" s="313">
        <v>0</v>
      </c>
      <c r="I60" s="313">
        <v>0</v>
      </c>
      <c r="J60" s="313">
        <v>0</v>
      </c>
      <c r="K60" s="313">
        <v>0</v>
      </c>
      <c r="L60" s="313">
        <v>0</v>
      </c>
      <c r="M60" s="313">
        <v>0</v>
      </c>
      <c r="N60" s="313">
        <v>0</v>
      </c>
      <c r="O60" s="25"/>
      <c r="P60" s="25"/>
      <c r="Q60" s="161"/>
      <c r="R60" s="42" t="str">
        <f>+O$20</f>
        <v>Graduate Student (Stipend, Tuition, Health Ins) - Endowed College Rates:</v>
      </c>
    </row>
    <row r="61" spans="1:33" x14ac:dyDescent="0.35">
      <c r="A61" s="141" t="str">
        <f>CONCATENATE("FTE for ",O59," Months")</f>
        <v>FTE for 9 Months</v>
      </c>
      <c r="B61" s="395">
        <f t="shared" ref="B61:M61" si="73">+B60/$O59</f>
        <v>0</v>
      </c>
      <c r="C61" s="395">
        <f t="shared" si="73"/>
        <v>0</v>
      </c>
      <c r="D61" s="395">
        <f t="shared" si="73"/>
        <v>0</v>
      </c>
      <c r="E61" s="395">
        <f t="shared" si="73"/>
        <v>0</v>
      </c>
      <c r="F61" s="395">
        <f t="shared" si="73"/>
        <v>0</v>
      </c>
      <c r="G61" s="395">
        <f t="shared" si="73"/>
        <v>0</v>
      </c>
      <c r="H61" s="395">
        <f t="shared" si="73"/>
        <v>0</v>
      </c>
      <c r="I61" s="395">
        <f t="shared" si="73"/>
        <v>0</v>
      </c>
      <c r="J61" s="395">
        <f t="shared" si="73"/>
        <v>0</v>
      </c>
      <c r="K61" s="395">
        <f t="shared" si="73"/>
        <v>0</v>
      </c>
      <c r="L61" s="395">
        <f t="shared" si="73"/>
        <v>0</v>
      </c>
      <c r="M61" s="395">
        <f t="shared" si="73"/>
        <v>0</v>
      </c>
      <c r="N61" s="395">
        <f t="shared" ref="N61" si="74">+N60/$O59</f>
        <v>0</v>
      </c>
      <c r="O61" s="89"/>
      <c r="P61" s="89"/>
      <c r="Q61" s="161"/>
      <c r="R61" s="25"/>
      <c r="S61" s="113" t="str">
        <f>+$P$24</f>
        <v>FY2023</v>
      </c>
      <c r="T61" s="113" t="str">
        <f>+$Q$24</f>
        <v>FY2024</v>
      </c>
      <c r="U61" s="113" t="str">
        <f>+$R$24</f>
        <v>FY2025</v>
      </c>
      <c r="V61" s="113" t="str">
        <f>+$S$24</f>
        <v>FY2026</v>
      </c>
      <c r="W61" s="113" t="str">
        <f>+$T$24</f>
        <v>FY2027</v>
      </c>
      <c r="X61" s="113" t="str">
        <f>+$U$24</f>
        <v>FY2028</v>
      </c>
      <c r="Y61" s="113" t="str">
        <f>+$V$24</f>
        <v>FY2029</v>
      </c>
      <c r="Z61" s="113" t="str">
        <f>+$W$24</f>
        <v>FY2030</v>
      </c>
      <c r="AA61" s="113" t="str">
        <f>+$X$24</f>
        <v>FY2031</v>
      </c>
      <c r="AB61" s="113" t="str">
        <f>+$Y$24</f>
        <v>FY2032</v>
      </c>
      <c r="AC61" s="113" t="str">
        <f>+$Z$24</f>
        <v>FY2033</v>
      </c>
      <c r="AD61" s="113" t="str">
        <f>+$AA$24</f>
        <v>FY2034</v>
      </c>
      <c r="AE61" s="113" t="str">
        <f>+$AB$24</f>
        <v>FY2035</v>
      </c>
      <c r="AF61" s="113" t="str">
        <f>+$AC$24</f>
        <v>FY2036</v>
      </c>
      <c r="AG61" s="114" t="s">
        <v>101</v>
      </c>
    </row>
    <row r="62" spans="1:33" x14ac:dyDescent="0.35">
      <c r="A62" s="142" t="s">
        <v>56</v>
      </c>
      <c r="B62" s="396">
        <f>+B60/12</f>
        <v>0</v>
      </c>
      <c r="C62" s="396">
        <f>+C60/12</f>
        <v>0</v>
      </c>
      <c r="D62" s="396">
        <f t="shared" ref="D62:I62" si="75">+D60/12</f>
        <v>0</v>
      </c>
      <c r="E62" s="396">
        <f t="shared" si="75"/>
        <v>0</v>
      </c>
      <c r="F62" s="396">
        <f t="shared" si="75"/>
        <v>0</v>
      </c>
      <c r="G62" s="396">
        <f t="shared" si="75"/>
        <v>0</v>
      </c>
      <c r="H62" s="396">
        <f t="shared" ref="H62" si="76">+H60/12</f>
        <v>0</v>
      </c>
      <c r="I62" s="396">
        <f t="shared" si="75"/>
        <v>0</v>
      </c>
      <c r="J62" s="396">
        <f t="shared" ref="J62:L62" si="77">+J60/12</f>
        <v>0</v>
      </c>
      <c r="K62" s="396">
        <f t="shared" si="77"/>
        <v>0</v>
      </c>
      <c r="L62" s="396">
        <f t="shared" si="77"/>
        <v>0</v>
      </c>
      <c r="M62" s="396">
        <f t="shared" ref="M62:N62" si="78">+M60/12</f>
        <v>0</v>
      </c>
      <c r="N62" s="396">
        <f t="shared" si="78"/>
        <v>0</v>
      </c>
      <c r="O62" s="89"/>
      <c r="P62" s="89"/>
      <c r="Q62" s="161"/>
      <c r="R62" s="30" t="s">
        <v>35</v>
      </c>
      <c r="S62" s="101">
        <f>+$P$25</f>
        <v>30087</v>
      </c>
      <c r="T62" s="101">
        <f>IF(ROUND(S62*(1+$AG62),0)=$Q$25,ROUND(S62*(1+$AG62),0),$Q$25)</f>
        <v>32494.5</v>
      </c>
      <c r="U62" s="101">
        <f t="shared" ref="U62:AF62" si="79">ROUND(T62*(1+$AG62),0)</f>
        <v>35094</v>
      </c>
      <c r="V62" s="101">
        <f t="shared" si="79"/>
        <v>37902</v>
      </c>
      <c r="W62" s="101">
        <f t="shared" si="79"/>
        <v>40934</v>
      </c>
      <c r="X62" s="101">
        <f t="shared" si="79"/>
        <v>44209</v>
      </c>
      <c r="Y62" s="101">
        <f t="shared" si="79"/>
        <v>47746</v>
      </c>
      <c r="Z62" s="101">
        <f t="shared" si="79"/>
        <v>51566</v>
      </c>
      <c r="AA62" s="101">
        <f t="shared" si="79"/>
        <v>55691</v>
      </c>
      <c r="AB62" s="101">
        <f t="shared" si="79"/>
        <v>60146</v>
      </c>
      <c r="AC62" s="101">
        <f t="shared" si="79"/>
        <v>64958</v>
      </c>
      <c r="AD62" s="101">
        <f t="shared" si="79"/>
        <v>70155</v>
      </c>
      <c r="AE62" s="101">
        <f t="shared" si="79"/>
        <v>75767</v>
      </c>
      <c r="AF62" s="101">
        <f t="shared" si="79"/>
        <v>81828</v>
      </c>
      <c r="AG62" s="31">
        <v>0.08</v>
      </c>
    </row>
    <row r="63" spans="1:33" x14ac:dyDescent="0.35">
      <c r="A63" s="141" t="s">
        <v>21</v>
      </c>
      <c r="B63" s="110">
        <f t="shared" ref="B63:K63" si="80">IF($O59=9,ROUND(B59*B61,0),IF($O59=12,ROUND((B59*B61*$Q$35)+(C59*B61*$Q$36),0),0))</f>
        <v>0</v>
      </c>
      <c r="C63" s="110">
        <f t="shared" si="80"/>
        <v>0</v>
      </c>
      <c r="D63" s="110">
        <f t="shared" si="80"/>
        <v>0</v>
      </c>
      <c r="E63" s="110">
        <f t="shared" si="80"/>
        <v>0</v>
      </c>
      <c r="F63" s="110">
        <f t="shared" si="80"/>
        <v>0</v>
      </c>
      <c r="G63" s="110">
        <f t="shared" si="80"/>
        <v>0</v>
      </c>
      <c r="H63" s="110">
        <f t="shared" si="80"/>
        <v>0</v>
      </c>
      <c r="I63" s="110">
        <f t="shared" si="80"/>
        <v>0</v>
      </c>
      <c r="J63" s="110">
        <f t="shared" si="80"/>
        <v>0</v>
      </c>
      <c r="K63" s="110">
        <f t="shared" si="80"/>
        <v>0</v>
      </c>
      <c r="L63" s="110">
        <f>IF($O59=9,ROUND(L59*L61,0),IF($O59=12,ROUND((L59*L61*$Q$35)+(N59*L61*$Q$36),0),0))</f>
        <v>0</v>
      </c>
      <c r="M63" s="110">
        <f>IF($O59=9,ROUND(M59*M61,0),IF($O59=12,ROUND((M59*M61*$Q$35)+(O59*M61*$Q$36),0),0))</f>
        <v>0</v>
      </c>
      <c r="N63" s="110">
        <f>IF($O59=9,ROUND(N59*N61,0),IF($O59=12,ROUND((N59*N61*$Q$35)+(P59*N61*$Q$36),0),0))</f>
        <v>0</v>
      </c>
      <c r="O63" s="89"/>
      <c r="P63" s="89"/>
      <c r="Q63" s="161"/>
      <c r="R63" s="30" t="s">
        <v>23</v>
      </c>
      <c r="S63" s="101">
        <f>+$P$26</f>
        <v>10029</v>
      </c>
      <c r="T63" s="101">
        <f>IF(ROUND(S63*(1+$AG63),0)=$Q$26,ROUND(S63*(1+$AG63),0),$Q$26)</f>
        <v>10831.5</v>
      </c>
      <c r="U63" s="101">
        <f t="shared" ref="U63:AF63" si="81">ROUND(T63*(1+$AG63),0)</f>
        <v>11698</v>
      </c>
      <c r="V63" s="101">
        <f t="shared" si="81"/>
        <v>12634</v>
      </c>
      <c r="W63" s="101">
        <f t="shared" si="81"/>
        <v>13645</v>
      </c>
      <c r="X63" s="101">
        <f t="shared" si="81"/>
        <v>14737</v>
      </c>
      <c r="Y63" s="101">
        <f t="shared" si="81"/>
        <v>15916</v>
      </c>
      <c r="Z63" s="101">
        <f t="shared" si="81"/>
        <v>17189</v>
      </c>
      <c r="AA63" s="101">
        <f t="shared" si="81"/>
        <v>18564</v>
      </c>
      <c r="AB63" s="101">
        <f t="shared" si="81"/>
        <v>20049</v>
      </c>
      <c r="AC63" s="101">
        <f t="shared" si="81"/>
        <v>21653</v>
      </c>
      <c r="AD63" s="101">
        <f t="shared" si="81"/>
        <v>23385</v>
      </c>
      <c r="AE63" s="101">
        <f t="shared" si="81"/>
        <v>25256</v>
      </c>
      <c r="AF63" s="101">
        <f t="shared" si="81"/>
        <v>27276</v>
      </c>
      <c r="AG63" s="66">
        <v>0.08</v>
      </c>
    </row>
    <row r="64" spans="1:33" x14ac:dyDescent="0.35">
      <c r="A64" s="141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89"/>
      <c r="P64" s="89"/>
      <c r="Q64" s="161"/>
      <c r="R64" s="30" t="s">
        <v>30</v>
      </c>
      <c r="S64" s="101">
        <f>+$P$27</f>
        <v>40116</v>
      </c>
      <c r="T64" s="101">
        <f>+T62+T63</f>
        <v>43326</v>
      </c>
      <c r="U64" s="101">
        <f t="shared" ref="U64:Y64" si="82">+U62+U63</f>
        <v>46792</v>
      </c>
      <c r="V64" s="101">
        <f t="shared" si="82"/>
        <v>50536</v>
      </c>
      <c r="W64" s="101">
        <f t="shared" si="82"/>
        <v>54579</v>
      </c>
      <c r="X64" s="101">
        <f t="shared" si="82"/>
        <v>58946</v>
      </c>
      <c r="Y64" s="101">
        <f t="shared" si="82"/>
        <v>63662</v>
      </c>
      <c r="Z64" s="101">
        <f t="shared" ref="Z64:AC64" si="83">+Z62+Z63</f>
        <v>68755</v>
      </c>
      <c r="AA64" s="101">
        <f t="shared" si="83"/>
        <v>74255</v>
      </c>
      <c r="AB64" s="101">
        <f t="shared" si="83"/>
        <v>80195</v>
      </c>
      <c r="AC64" s="101">
        <f t="shared" si="83"/>
        <v>86611</v>
      </c>
      <c r="AD64" s="101">
        <f t="shared" ref="AD64:AE64" si="84">+AD62+AD63</f>
        <v>93540</v>
      </c>
      <c r="AE64" s="101">
        <f t="shared" si="84"/>
        <v>101023</v>
      </c>
      <c r="AF64" s="101">
        <f t="shared" ref="AF64" si="85">+AF62+AF63</f>
        <v>109104</v>
      </c>
      <c r="AG64" s="31"/>
    </row>
    <row r="65" spans="1:34" x14ac:dyDescent="0.35">
      <c r="A65" s="141"/>
      <c r="B65" s="104" t="str">
        <f t="shared" ref="B65:L65" si="86">IF(AND(B66=$AE$5,$O67=9),$AE$3,IF(AND(B66=$AF$5,$O67=9),$AF$3,IF(AND(B66=$AG$5,$O67=9),$AG$3,IF(AND(B66=$AH$5,$O67=9),$AH$3,IF(AND(B66=$AI$5,$O67=9),$AI$3,IF(AND(B66=$AJ$5,$O67=9),$AJ$3,IF(AND(B66=$AK$5,$O67=9),$AK$3,IF(AND(B66=$AL$5,$O67=9),$AL$3,IF(AND(B66=$AM$5,$O67=9),$AM$3,IF(AND(B66=$AN$5,$O67=9),$AN$3,IF(AND(B66=$AO$5,$O67=9),$AO$3,IF(AND(B66=$AP$5,$O67=9),$AJ$3,IF(AND(B66=$AE$4,$O67=12),$AE$3,IF(AND(B66=$AF$4,$O67=12),$AF$3,IF(AND(B66=$AG$4,$O67=12),$AG$3,IF(AND(B66=$AH$4,$O67=12),$AH$3,IF(AND(B66=$AI$4,$O67=12),$AI$3,IF(AND(B66=$AJ$4,$O67=12),$AJ$3,IF(AND(B66=$AK$4,$O67=12),$AK$3,IF(AND(B66=$AL$4,$O67=12),$AL$3,IF(AND(B66=$AM$4,$O67=12),$AM$3,IF(AND(B66=$AN$4,$O67=12),$AN$3,IF(AND(B66=$AO$4,$O67=12),$AO$3,IF(AND(B66=$AP$4,$O67=12),$AJ$3," "))))))))))))))))))))))))</f>
        <v xml:space="preserve"> </v>
      </c>
      <c r="C65" s="104" t="str">
        <f t="shared" si="86"/>
        <v>Year 1</v>
      </c>
      <c r="D65" s="104" t="str">
        <f t="shared" si="86"/>
        <v>Year 2</v>
      </c>
      <c r="E65" s="104" t="str">
        <f t="shared" si="86"/>
        <v>Year 3</v>
      </c>
      <c r="F65" s="104" t="str">
        <f t="shared" si="86"/>
        <v>Year 4</v>
      </c>
      <c r="G65" s="104" t="str">
        <f t="shared" si="86"/>
        <v>Year 5</v>
      </c>
      <c r="H65" s="104" t="str">
        <f t="shared" si="86"/>
        <v>Year 6</v>
      </c>
      <c r="I65" s="104" t="str">
        <f t="shared" si="86"/>
        <v>Year 7</v>
      </c>
      <c r="J65" s="104" t="str">
        <f t="shared" si="86"/>
        <v>Year 8</v>
      </c>
      <c r="K65" s="104" t="str">
        <f t="shared" si="86"/>
        <v>Year 9</v>
      </c>
      <c r="L65" s="104" t="str">
        <f t="shared" si="86"/>
        <v>Year 10</v>
      </c>
      <c r="M65" s="104" t="str">
        <f t="shared" ref="M65" si="87">IF(AND(M66=$AE$5,$O67=9),$AE$3,IF(AND(M66=$AF$5,$O67=9),$AF$3,IF(AND(M66=$AG$5,$O67=9),$AG$3,IF(AND(M66=$AH$5,$O67=9),$AH$3,IF(AND(M66=$AI$5,$O67=9),$AI$3,IF(AND(M66=$AJ$5,$O67=9),$AJ$3,IF(AND(M66=$AK$5,$O67=9),$AK$3,IF(AND(M66=$AL$5,$O67=9),$AL$3,IF(AND(M66=$AM$5,$O67=9),$AM$3,IF(AND(M66=$AN$5,$O67=9),$AN$3,IF(AND(M66=$AO$5,$O67=9),$AO$3,IF(AND(M66=$AP$5,$O67=9),$AJ$3,IF(AND(M66=$AE$4,$O67=12),$AE$3,IF(AND(M66=$AF$4,$O67=12),$AF$3,IF(AND(M66=$AG$4,$O67=12),$AG$3,IF(AND(M66=$AH$4,$O67=12),$AH$3,IF(AND(M66=$AI$4,$O67=12),$AI$3,IF(AND(M66=$AJ$4,$O67=12),$AJ$3,IF(AND(M66=$AK$4,$O67=12),$AK$3,IF(AND(M66=$AL$4,$O67=12),$AL$3,IF(AND(M66=$AM$4,$O67=12),$AM$3,IF(AND(M66=$AN$4,$O67=12),$AN$3,IF(AND(M66=$AO$4,$O67=12),$AO$3,IF(AND(M66=$AP$4,$O67=12),$AJ$3," "))))))))))))))))))))))))</f>
        <v>Year 11</v>
      </c>
      <c r="N65" s="104"/>
      <c r="O65" s="89"/>
      <c r="P65" s="89"/>
      <c r="Q65" s="161"/>
      <c r="R65" s="30" t="s">
        <v>8</v>
      </c>
      <c r="S65" s="101">
        <f>IF($B$25="Contract College",P$28,P$29)</f>
        <v>14750</v>
      </c>
      <c r="T65" s="101">
        <f>IF($B$25="Contract College",Q$28,Q$29)</f>
        <v>12400</v>
      </c>
      <c r="U65" s="101">
        <f t="shared" ref="U65:AF65" si="88">IF($B$25="Contract College",R$28,R$29)</f>
        <v>10400</v>
      </c>
      <c r="V65" s="101">
        <f t="shared" si="88"/>
        <v>10400</v>
      </c>
      <c r="W65" s="101">
        <f t="shared" si="88"/>
        <v>10400</v>
      </c>
      <c r="X65" s="101">
        <f t="shared" si="88"/>
        <v>10400</v>
      </c>
      <c r="Y65" s="101">
        <f t="shared" si="88"/>
        <v>10400</v>
      </c>
      <c r="Z65" s="101">
        <f t="shared" si="88"/>
        <v>10400</v>
      </c>
      <c r="AA65" s="101">
        <f t="shared" si="88"/>
        <v>10400</v>
      </c>
      <c r="AB65" s="101">
        <f t="shared" si="88"/>
        <v>10400</v>
      </c>
      <c r="AC65" s="101">
        <f t="shared" si="88"/>
        <v>10400</v>
      </c>
      <c r="AD65" s="101">
        <f t="shared" si="88"/>
        <v>10400</v>
      </c>
      <c r="AE65" s="101">
        <f t="shared" si="88"/>
        <v>10400</v>
      </c>
      <c r="AF65" s="101">
        <f t="shared" si="88"/>
        <v>10400</v>
      </c>
      <c r="AG65" s="31">
        <v>0</v>
      </c>
      <c r="AH65" t="s">
        <v>212</v>
      </c>
    </row>
    <row r="66" spans="1:34" x14ac:dyDescent="0.35">
      <c r="A66" s="140" t="s">
        <v>102</v>
      </c>
      <c r="B66" s="55" t="str">
        <f t="shared" ref="B66:I66" si="89">+N$2</f>
        <v>FY2023</v>
      </c>
      <c r="C66" s="55" t="str">
        <f t="shared" si="89"/>
        <v>FY2024</v>
      </c>
      <c r="D66" s="55" t="str">
        <f t="shared" si="89"/>
        <v>FY2025</v>
      </c>
      <c r="E66" s="55" t="str">
        <f t="shared" si="89"/>
        <v>FY2026</v>
      </c>
      <c r="F66" s="55" t="str">
        <f t="shared" si="89"/>
        <v>FY2027</v>
      </c>
      <c r="G66" s="55" t="str">
        <f t="shared" si="89"/>
        <v>FY2028</v>
      </c>
      <c r="H66" s="55" t="str">
        <f t="shared" si="89"/>
        <v>FY2029</v>
      </c>
      <c r="I66" s="55" t="str">
        <f t="shared" si="89"/>
        <v>FY2030</v>
      </c>
      <c r="J66" s="55" t="str">
        <f t="shared" ref="J66" si="90">+V$2</f>
        <v>FY2031</v>
      </c>
      <c r="K66" s="55" t="str">
        <f t="shared" ref="K66" si="91">+W$2</f>
        <v>FY2032</v>
      </c>
      <c r="L66" s="55" t="str">
        <f t="shared" ref="L66:M66" si="92">+X$2</f>
        <v>FY2033</v>
      </c>
      <c r="M66" s="55" t="str">
        <f t="shared" si="92"/>
        <v>FY2034</v>
      </c>
      <c r="N66" s="55"/>
      <c r="O66" s="32" t="s">
        <v>20</v>
      </c>
      <c r="P66" s="89" t="s">
        <v>64</v>
      </c>
      <c r="Q66" s="161"/>
      <c r="R66" s="30" t="s">
        <v>24</v>
      </c>
      <c r="S66" s="101">
        <f>+$P$30</f>
        <v>4046</v>
      </c>
      <c r="T66" s="101">
        <f>IF(ROUND(S66*(1+$AG66),0)=$Q$30,ROUND(S66*(1+$AG66),0),$Q$30)</f>
        <v>4451</v>
      </c>
      <c r="U66" s="101">
        <f t="shared" ref="U66:AF66" si="93">ROUND(T66*(1+$AG66),0)</f>
        <v>4896</v>
      </c>
      <c r="V66" s="101">
        <f t="shared" si="93"/>
        <v>5386</v>
      </c>
      <c r="W66" s="101">
        <f t="shared" si="93"/>
        <v>5925</v>
      </c>
      <c r="X66" s="101">
        <f t="shared" si="93"/>
        <v>6518</v>
      </c>
      <c r="Y66" s="101">
        <f t="shared" si="93"/>
        <v>7170</v>
      </c>
      <c r="Z66" s="101">
        <f t="shared" si="93"/>
        <v>7887</v>
      </c>
      <c r="AA66" s="101">
        <f t="shared" si="93"/>
        <v>8676</v>
      </c>
      <c r="AB66" s="101">
        <f t="shared" si="93"/>
        <v>9544</v>
      </c>
      <c r="AC66" s="101">
        <f t="shared" si="93"/>
        <v>10498</v>
      </c>
      <c r="AD66" s="101">
        <f t="shared" si="93"/>
        <v>11548</v>
      </c>
      <c r="AE66" s="101">
        <f t="shared" si="93"/>
        <v>12703</v>
      </c>
      <c r="AF66" s="101">
        <f t="shared" si="93"/>
        <v>13973</v>
      </c>
      <c r="AG66" s="31">
        <v>0.1</v>
      </c>
    </row>
    <row r="67" spans="1:34" x14ac:dyDescent="0.35">
      <c r="A67" s="141" t="str">
        <f>CONCATENATE("Base Salary: ",O67," month term")</f>
        <v>Base Salary: 12 month term</v>
      </c>
      <c r="B67" s="62">
        <f>PostdocMinRate</f>
        <v>56484</v>
      </c>
      <c r="C67" s="109">
        <f t="shared" ref="C67:M67" si="94">ROUND(+B67*(1+$P$67),0)</f>
        <v>58179</v>
      </c>
      <c r="D67" s="109">
        <f t="shared" si="94"/>
        <v>59924</v>
      </c>
      <c r="E67" s="109">
        <f t="shared" si="94"/>
        <v>61722</v>
      </c>
      <c r="F67" s="109">
        <f t="shared" si="94"/>
        <v>63574</v>
      </c>
      <c r="G67" s="109">
        <f t="shared" si="94"/>
        <v>65481</v>
      </c>
      <c r="H67" s="109">
        <f t="shared" si="94"/>
        <v>67445</v>
      </c>
      <c r="I67" s="109">
        <f t="shared" si="94"/>
        <v>69468</v>
      </c>
      <c r="J67" s="109">
        <f t="shared" si="94"/>
        <v>71552</v>
      </c>
      <c r="K67" s="109">
        <f t="shared" si="94"/>
        <v>73699</v>
      </c>
      <c r="L67" s="109">
        <f t="shared" si="94"/>
        <v>75910</v>
      </c>
      <c r="M67" s="109">
        <f t="shared" si="94"/>
        <v>78187</v>
      </c>
      <c r="N67" s="386"/>
      <c r="O67" s="319">
        <v>12</v>
      </c>
      <c r="P67" s="320">
        <v>0.03</v>
      </c>
      <c r="Q67" s="161"/>
      <c r="Y67" s="23"/>
    </row>
    <row r="68" spans="1:34" x14ac:dyDescent="0.35">
      <c r="A68" s="141" t="s">
        <v>44</v>
      </c>
      <c r="B68" s="313">
        <v>0</v>
      </c>
      <c r="C68" s="313">
        <v>0</v>
      </c>
      <c r="D68" s="313">
        <v>0</v>
      </c>
      <c r="E68" s="313">
        <v>0</v>
      </c>
      <c r="F68" s="313">
        <v>0</v>
      </c>
      <c r="G68" s="313">
        <v>0</v>
      </c>
      <c r="H68" s="313">
        <v>0</v>
      </c>
      <c r="I68" s="313">
        <v>0</v>
      </c>
      <c r="J68" s="313">
        <v>0</v>
      </c>
      <c r="K68" s="313">
        <v>0</v>
      </c>
      <c r="L68" s="313">
        <v>0</v>
      </c>
      <c r="M68" s="313">
        <v>0</v>
      </c>
      <c r="N68" s="402"/>
      <c r="O68" s="25"/>
      <c r="P68" s="25"/>
      <c r="Q68" s="161"/>
      <c r="Y68" s="23"/>
    </row>
    <row r="69" spans="1:34" x14ac:dyDescent="0.35">
      <c r="A69" s="141" t="str">
        <f>CONCATENATE("FTE for ",O67," Months")</f>
        <v>FTE for 12 Months</v>
      </c>
      <c r="B69" s="395">
        <f t="shared" ref="B69:L69" si="95">+B68/$O67</f>
        <v>0</v>
      </c>
      <c r="C69" s="395">
        <f t="shared" si="95"/>
        <v>0</v>
      </c>
      <c r="D69" s="395">
        <f t="shared" si="95"/>
        <v>0</v>
      </c>
      <c r="E69" s="395">
        <f t="shared" si="95"/>
        <v>0</v>
      </c>
      <c r="F69" s="395">
        <f t="shared" si="95"/>
        <v>0</v>
      </c>
      <c r="G69" s="395">
        <f t="shared" si="95"/>
        <v>0</v>
      </c>
      <c r="H69" s="395">
        <f t="shared" si="95"/>
        <v>0</v>
      </c>
      <c r="I69" s="395">
        <f t="shared" si="95"/>
        <v>0</v>
      </c>
      <c r="J69" s="395">
        <f t="shared" si="95"/>
        <v>0</v>
      </c>
      <c r="K69" s="395">
        <f t="shared" si="95"/>
        <v>0</v>
      </c>
      <c r="L69" s="395">
        <f t="shared" si="95"/>
        <v>0</v>
      </c>
      <c r="M69" s="395">
        <f t="shared" ref="M69" si="96">+M68/$O67</f>
        <v>0</v>
      </c>
      <c r="N69" s="403"/>
      <c r="O69" s="89"/>
      <c r="P69" s="89"/>
      <c r="Q69" s="161"/>
      <c r="S69" s="53" t="str">
        <f>IF(AND($AD$2&gt;=7,$AD$2&lt;=9),CONCATENATE("Fall ",$AD$3-1),IF(AND(AD2&gt;=7,AD2&lt;=10),CONCATENATE("Spring ",$AD$3),IF(OR(AD2&gt;=10,AD2&lt;=2),CONCATENATE("Spring ",$AD$3),IF(AND(AD2&gt;=7,AD2&lt;=10),CONCATENATE("Summer ",$AD$3),IF(OR(AD2&gt;=10,AD2&lt;=2),CONCATENATE("Summer ",$AD$3),IF(AND(AD2&gt;=3,AD2&lt;=6),CONCATENATE("Summer ",$AD$3),"N/A"))))))</f>
        <v>Fall 2023</v>
      </c>
      <c r="T69" s="53" t="str">
        <f>IF(AND($AD$2&gt;=7,$AD$2&lt;=9),CONCATENATE("Fall ",$AD$3),IF(AND(AD2&gt;=7,AD2&lt;=10),CONCATENATE("Spring ",$AD$3+1),IF(OR(AD2&gt;=10,AD2&lt;=2),CONCATENATE("Spring ",$AD$3+1),IF(AND(AD2&gt;=7,AD2&lt;=10),CONCATENATE("Summer ",$AD$3+1),IF(OR(AD2&gt;=10,AD2&lt;=2),CONCATENATE("Summer ",$AD$3+1),IF(AND(AD2&gt;=3,AD2&lt;=6),CONCATENATE("Summer ",$AD$3+1),"N/A"))))))</f>
        <v>Fall 2024</v>
      </c>
      <c r="U69" s="53" t="str">
        <f>IF(AND($AD$2&gt;=7,$AD$2&lt;=9),CONCATENATE("Fall ",$AD$3+1),IF(AND(AD2&gt;=7,AD2&lt;=10),CONCATENATE("Spring ",$AD$3+2),IF(OR(AD2&gt;=10,AD2&lt;=2),CONCATENATE("Spring ",$AD$3+2),IF(AND(AD2&gt;=7,AD2&lt;=10),CONCATENATE("Summer ",$AD$3+2),IF(OR(AD2&gt;=10,AD2&lt;=2),CONCATENATE("Summer ",$AD$3+2),IF(AND(AD2&gt;=3,AD2&lt;=6),CONCATENATE("Summer ",$AD$3+2),"N/A"))))))</f>
        <v>Fall 2025</v>
      </c>
      <c r="V69" s="53" t="str">
        <f>IF(AND($AD$2&gt;=7,$AD$2&lt;=9),CONCATENATE("Fall ",$AD$3+2),IF(AND(AD2&gt;=7,AD2&lt;=10),CONCATENATE("Spring ",$AD$3+3),IF(OR(AD2&gt;=10,AD2&lt;=2),CONCATENATE("Spring ",$AD$3+3),IF(AND(AD2&gt;=7,AD2&lt;=10),CONCATENATE("Summer ",$AD$3+3),IF(OR(AD2&gt;=10,AD2&lt;=2),CONCATENATE("Summer ",$AD$3+3),IF(AND(AD2&gt;=3,AD2&lt;=6),CONCATENATE("Summer ",$AD$3+3),"N/A"))))))</f>
        <v>Fall 2026</v>
      </c>
      <c r="W69" s="53" t="str">
        <f>IF(AND($AD$2&gt;=7,$AD$2&lt;=9),CONCATENATE("Fall ",$AD$3+3),IF(AND(AD2&gt;=7,AD2&lt;=10),CONCATENATE("Spring ",$AD$3+4),IF(OR(AD2&gt;=10,AD2&lt;=2),CONCATENATE("Spring ",$AD$3+4),IF(AND(AD2&gt;=7,AD2&lt;=10),CONCATENATE("Summer ",$AD$3+4),IF(OR(AD2&gt;=10,AD2&lt;=2),CONCATENATE("Summer ",$AD$3+4),IF(AND(AD2&gt;=3,AD2&lt;=6),CONCATENATE("Summer ",$AD$3+4),"N/A"))))))</f>
        <v>Fall 2027</v>
      </c>
      <c r="X69" s="53" t="str">
        <f>IF(AND($AD$2&gt;=7,$AD$2&lt;=9),CONCATENATE("Fall ",$AD$3+4),IF(AND(AE2&gt;=7,AE2&lt;=10),CONCATENATE("Spring ",$AD$3+5),IF(OR(AE2&gt;=10,AE2&lt;=2),CONCATENATE("Spring ",$AD$3+5),IF(AND(AE2&gt;=7,AE2&lt;=10),CONCATENATE("Summer ",$AD$3+5),IF(OR(AE2&gt;=10,AE2&lt;=2),CONCATENATE("Summer ",$AD$3+5),IF(AND(AE2&gt;=3,AE2&lt;=6),CONCATENATE("Summer ",$AD$3+5),"N/A"))))))</f>
        <v>Fall 2028</v>
      </c>
      <c r="Y69" s="53" t="str">
        <f>IF(AND($AD$2&gt;=7,$AD$2&lt;=9),CONCATENATE("Fall ",$AD$3+5),IF(AND(AF2&gt;=7,AF2&lt;=10),CONCATENATE("Spring ",$AD$3+6),IF(OR(AF2&gt;=10,AF2&lt;=2),CONCATENATE("Spring ",$AD$3+6),IF(AND(AF2&gt;=7,AF2&lt;=10),CONCATENATE("Summer ",$AD$3+6),IF(OR(AF2&gt;=10,AF2&lt;=2),CONCATENATE("Summer ",$AD$3+6),IF(AND(AF2&gt;=3,AF2&lt;=6),CONCATENATE("Summer ",$AD$3+6),"N/A"))))))</f>
        <v>Fall 2029</v>
      </c>
      <c r="Z69" s="53" t="str">
        <f>IF(AND($AD$2&gt;=7,$AD$2&lt;=9),CONCATENATE("Fall ",$AD$3+6),IF(AND(AG2&gt;=7,AG2&lt;=10),CONCATENATE("Spring ",$AD$3+7),IF(OR(AG2&gt;=10,AG2&lt;=2),CONCATENATE("Spring ",$AD$3+7),IF(AND(AG2&gt;=7,AG2&lt;=10),CONCATENATE("Summer ",$AD$3+7),IF(OR(AG2&gt;=10,AG2&lt;=2),CONCATENATE("Summer ",$AD$3+7),IF(AND(AG2&gt;=3,AG2&lt;=6),CONCATENATE("Summer ",$AD$3+7),"N/A"))))))</f>
        <v>Fall 2030</v>
      </c>
      <c r="AA69" s="53" t="str">
        <f>IF(AND($AD$2&gt;=7,$AD$2&lt;=9),CONCATENATE("Fall ",$AD$3+7),IF(AND(AH2&gt;=7,AH2&lt;=10),CONCATENATE("Spring ",$AD$3+8),IF(OR(AH2&gt;=10,AH2&lt;=2),CONCATENATE("Spring ",$AD$3+8),IF(AND(AH2&gt;=7,AH2&lt;=10),CONCATENATE("Summer ",$AD$3+8),IF(OR(AH2&gt;=10,AH2&lt;=2),CONCATENATE("Summer ",$AD$3+8),IF(AND(AH2&gt;=3,AH2&lt;=6),CONCATENATE("Summer ",$AD$3+8),"N/A"))))))</f>
        <v>Fall 2031</v>
      </c>
      <c r="AB69" s="53" t="str">
        <f>IF(AND($AD$2&gt;=7,$AD$2&lt;=9),CONCATENATE("Fall ",$AD$3+8),IF(AND(AI2&gt;=7,AI2&lt;=10),CONCATENATE("Spring ",$AD$3+9),IF(OR(AI2&gt;=10,AI2&lt;=2),CONCATENATE("Spring ",$AD$3+9),IF(AND(AI2&gt;=7,AI2&lt;=10),CONCATENATE("Summer ",$AD$3+9),IF(OR(AI2&gt;=10,AI2&lt;=2),CONCATENATE("Summer ",$AD$3+9),IF(AND(AI2&gt;=3,AI2&lt;=6),CONCATENATE("Summer ",$AD$3+9),"N/A"))))))</f>
        <v>Fall 2032</v>
      </c>
      <c r="AC69" s="53" t="str">
        <f>IF(AND($AD$2&gt;=7,$AD$2&lt;=9),CONCATENATE("Fall ",$AD$3+9),IF(AND(AJ2&gt;=7,AJ2&lt;=10),CONCATENATE("Spring ",$AD$3+10),IF(OR(AJ2&gt;=10,AJ2&lt;=2),CONCATENATE("Spring ",$AD$3+10),IF(AND(AJ2&gt;=7,AJ2&lt;=10),CONCATENATE("Summer ",$AD$3+10),IF(OR(AJ2&gt;=10,AJ2&lt;=2),CONCATENATE("Summer ",$AD$3+10),IF(AND(AJ2&gt;=3,AJ2&lt;=6),CONCATENATE("Summer ",$AD$3+10),"N/A"))))))</f>
        <v>Fall 2033</v>
      </c>
      <c r="AD69" s="53" t="str">
        <f>IF(AND($AD$2&gt;=7,$AD$2&lt;=9),CONCATENATE("Fall ",$AD$3+10),IF(AND(AK2&gt;=7,AK2&lt;=10),CONCATENATE("Spring ",$AD$3+11),IF(OR(AK2&gt;=10,AK2&lt;=2),CONCATENATE("Spring ",$AD$3+11),IF(AND(AK2&gt;=7,AK2&lt;=10),CONCATENATE("Summer ",$AD$3+11),IF(OR(AK2&gt;=10,AK2&lt;=2),CONCATENATE("Summer ",$AD$3+11),IF(AND(AK2&gt;=3,AK2&lt;=6),CONCATENATE("Summer ",$AD$3+11),"N/A"))))))</f>
        <v>Fall 2034</v>
      </c>
    </row>
    <row r="70" spans="1:34" x14ac:dyDescent="0.35">
      <c r="A70" s="141" t="s">
        <v>21</v>
      </c>
      <c r="B70" s="110">
        <f t="shared" ref="B70:K70" si="97">ROUND((B67*B69*$Q$35)+(C67*B69*$Q$36),0)</f>
        <v>0</v>
      </c>
      <c r="C70" s="110">
        <f t="shared" si="97"/>
        <v>0</v>
      </c>
      <c r="D70" s="110">
        <f t="shared" si="97"/>
        <v>0</v>
      </c>
      <c r="E70" s="110">
        <f t="shared" si="97"/>
        <v>0</v>
      </c>
      <c r="F70" s="110">
        <f t="shared" si="97"/>
        <v>0</v>
      </c>
      <c r="G70" s="110">
        <f t="shared" si="97"/>
        <v>0</v>
      </c>
      <c r="H70" s="110">
        <f t="shared" si="97"/>
        <v>0</v>
      </c>
      <c r="I70" s="110">
        <f t="shared" si="97"/>
        <v>0</v>
      </c>
      <c r="J70" s="110">
        <f t="shared" si="97"/>
        <v>0</v>
      </c>
      <c r="K70" s="110">
        <f t="shared" si="97"/>
        <v>0</v>
      </c>
      <c r="L70" s="110">
        <f>ROUND((L67*L69*$Q$35)+(N67*L69*$Q$36),0)</f>
        <v>0</v>
      </c>
      <c r="M70" s="110">
        <f>ROUND((M67*M69*$Q$35)+(O67*M69*$Q$36),0)</f>
        <v>0</v>
      </c>
      <c r="N70" s="404"/>
      <c r="O70" s="89"/>
      <c r="P70" s="89"/>
      <c r="Q70" s="161"/>
      <c r="S70" s="53" t="str">
        <f>IF(AND($AD$2&gt;=7,$AD$2&lt;=9),CONCATENATE("Spring ",$AD$3),IF(AND(AD2&gt;=7,AD2&lt;=10),CONCATENATE("Summer ",$AD$3),IF(OR(AD2&gt;=10,AD2&lt;=2),CONCATENATE("Summer ",$AD$3),IF(AND(AD2&gt;=7,AD2&lt;=10),CONCATENATE("Fall ",$AD$3),IF(OR(AD2&gt;=10,AD2&lt;=2),CONCATENATE("Fall ",$AD$3),IF(AND(AD2&gt;=3,AD2&lt;=6),CONCATENATE("Fall ",$AD$3),"N/A"))))))</f>
        <v>Spring 2024</v>
      </c>
      <c r="T70" s="53" t="str">
        <f>IF(AND($AD$2&gt;=7,$AD$2&lt;=9),CONCATENATE("Spring ",$AD$3+1),IF(AND(AD2&gt;=7,AD2&lt;=10),CONCATENATE("Summer ",$AD$3+1),IF(OR(AD2&gt;=10,AD2&lt;=2),CONCATENATE("Summer ",$AD$3+1),IF(AND(AD2&gt;=7,AD2&lt;=10),CONCATENATE("Fall ",$AD$3+1),IF(OR(AD2&gt;=10,AD2&lt;=2),CONCATENATE("Fall ",$AD$3+1),IF(AND(AD2&gt;=3,AD2&lt;=6),CONCATENATE("Fall ",$AD$3+1),"N/A"))))))</f>
        <v>Spring 2025</v>
      </c>
      <c r="U70" s="53" t="str">
        <f>IF(AND($AD$2&gt;=7,$AD$2&lt;=9),CONCATENATE("Spring ",$AD$3+2),IF(AND(AD2&gt;=7,AD2&lt;=10),CONCATENATE("Summer ",$AD$3+2),IF(OR(AD2&gt;=10,AD2&lt;=2),CONCATENATE("Summer ",$AD$3+2),IF(AND(AD2&gt;=7,AD2&lt;=10),CONCATENATE("Fall ",$AD$3+2),IF(OR(AD2&gt;=10,AD2&lt;=2),CONCATENATE("Fall ",$AD$3+2),IF(AND(AD2&gt;=3,AD2&lt;=6),CONCATENATE("Fall ",$AD$3+2),"N/A"))))))</f>
        <v>Spring 2026</v>
      </c>
      <c r="V70" s="53" t="str">
        <f>IF(AND($AD$2&gt;=7,$AD$2&lt;=9),CONCATENATE("Spring ",$AD$3+3),IF(AND(AD2&gt;=7,AD2&lt;=10),CONCATENATE("Summer ",$AD$3+3),IF(OR(AD2&gt;=10,AD2&lt;=2),CONCATENATE("Summer ",$AD$3+3),IF(AND(AD2&gt;=7,AD2&lt;=10),CONCATENATE("Fall ",$AD$3+3),IF(OR(AD2&gt;=10,AD2&lt;=2),CONCATENATE("Fall ",$AD$3+3),IF(AND(AD2&gt;=3,AD2&lt;=6),CONCATENATE("Fall ",$AD$3+3),"N/A"))))))</f>
        <v>Spring 2027</v>
      </c>
      <c r="W70" s="53" t="str">
        <f>IF(AND($AD$2&gt;=7,$AD$2&lt;=9),CONCATENATE("Spring ",$AD$3+4),IF(AND(AD2&gt;=7,AD2&lt;=10),CONCATENATE("Summer ",$AD$3+4),IF(OR(AD2&gt;=10,AD2&lt;=2),CONCATENATE("Summer ",$AD$3+4),IF(AND(AD2&gt;=7,AD2&lt;=10),CONCATENATE("Fall ",$AD$3+4),IF(OR(AD2&gt;=10,AD2&lt;=2),CONCATENATE("Fall ",$AD$3+4),IF(AND(AD2&gt;=3,AD2&lt;=6),CONCATENATE("Fall ",$AD$3+4),"N/A"))))))</f>
        <v>Spring 2028</v>
      </c>
      <c r="X70" s="53" t="str">
        <f>IF(AND($AD$2&gt;=7,$AD$2&lt;=9),CONCATENATE("Spring ",$AD$3+5),IF(AND(AE2&gt;=7,AE2&lt;=10),CONCATENATE("Summer ",$AD$3+5),IF(OR(AE2&gt;=10,AE2&lt;=2),CONCATENATE("Summer ",$AD$3+5),IF(AND(AE2&gt;=7,AE2&lt;=10),CONCATENATE("Fall ",$AD$3+5),IF(OR(AE2&gt;=10,AE2&lt;=2),CONCATENATE("Fall ",$AD$3+5),IF(AND(AE2&gt;=3,AE2&lt;=6),CONCATENATE("Fall ",$AD$3+5),"N/A"))))))</f>
        <v>Spring 2029</v>
      </c>
      <c r="Y70" s="53" t="str">
        <f>IF(AND($AD$2&gt;=7,$AD$2&lt;=9),CONCATENATE("Spring ",$AD$3+6),IF(AND(AF2&gt;=7,AF2&lt;=10),CONCATENATE("Summer ",$AD$3+6),IF(OR(AF2&gt;=10,AF2&lt;=2),CONCATENATE("Summer ",$AD$3+6),IF(AND(AF2&gt;=7,AF2&lt;=10),CONCATENATE("Fall ",$AD$3+6),IF(OR(AF2&gt;=10,AF2&lt;=2),CONCATENATE("Fall ",$AD$3+6),IF(AND(AF2&gt;=3,AF2&lt;=6),CONCATENATE("Fall ",$AD$3+6),"N/A"))))))</f>
        <v>Spring 2030</v>
      </c>
      <c r="Z70" s="53" t="str">
        <f>IF(AND($AD$2&gt;=7,$AD$2&lt;=9),CONCATENATE("Spring ",$AD$3+7),IF(AND(AG2&gt;=7,AG2&lt;=10),CONCATENATE("Summer ",$AD$3+7),IF(OR(AG2&gt;=10,AG2&lt;=2),CONCATENATE("Summer ",$AD$3+7),IF(AND(AG2&gt;=7,AG2&lt;=10),CONCATENATE("Fall ",$AD$3+7),IF(OR(AG2&gt;=10,AG2&lt;=2),CONCATENATE("Fall ",$AD$3+7),IF(AND(AG2&gt;=3,AG2&lt;=6),CONCATENATE("Fall ",$AD$3+7),"N/A"))))))</f>
        <v>Spring 2031</v>
      </c>
      <c r="AA70" s="53" t="str">
        <f>IF(AND($AD$2&gt;=7,$AD$2&lt;=9),CONCATENATE("Spring ",$AD$3+8),IF(AND(AH2&gt;=7,AH2&lt;=10),CONCATENATE("Summer ",$AD$3+8),IF(OR(AH2&gt;=10,AH2&lt;=2),CONCATENATE("Summer ",$AD$3+8),IF(AND(AH2&gt;=7,AH2&lt;=10),CONCATENATE("Fall ",$AD$3+8),IF(OR(AH2&gt;=10,AH2&lt;=2),CONCATENATE("Fall ",$AD$3+8),IF(AND(AH2&gt;=3,AH2&lt;=6),CONCATENATE("Fall ",$AD$3+8),"N/A"))))))</f>
        <v>Spring 2032</v>
      </c>
      <c r="AB70" s="53" t="str">
        <f>IF(AND($AD$2&gt;=7,$AD$2&lt;=9),CONCATENATE("Spring ",$AD$3+9),IF(AND(AI2&gt;=7,AI2&lt;=10),CONCATENATE("Summer ",$AD$3+9),IF(OR(AI2&gt;=10,AI2&lt;=2),CONCATENATE("Summer ",$AD$3+9),IF(AND(AI2&gt;=7,AI2&lt;=10),CONCATENATE("Fall ",$AD$3+9),IF(OR(AI2&gt;=10,AI2&lt;=2),CONCATENATE("Fall ",$AD$3+9),IF(AND(AI2&gt;=3,AI2&lt;=6),CONCATENATE("Fall ",$AD$3+9),"N/A"))))))</f>
        <v>Spring 2033</v>
      </c>
      <c r="AC70" s="53" t="str">
        <f>IF(AND($AD$2&gt;=7,$AD$2&lt;=9),CONCATENATE("Spring ",$AD$3+10),IF(AND(AJ2&gt;=7,AJ2&lt;=10),CONCATENATE("Summer ",$AD$3+10),IF(OR(AJ2&gt;=10,AJ2&lt;=2),CONCATENATE("Summer ",$AD$3+10),IF(AND(AJ2&gt;=7,AJ2&lt;=10),CONCATENATE("Fall ",$AD$3+10),IF(OR(AJ2&gt;=10,AJ2&lt;=2),CONCATENATE("Fall ",$AD$3+10),IF(AND(AJ2&gt;=3,AJ2&lt;=6),CONCATENATE("Fall ",$AD$3+10),"N/A"))))))</f>
        <v>Spring 2034</v>
      </c>
      <c r="AD70" s="53" t="str">
        <f>IF(AND($AD$2&gt;=7,$AD$2&lt;=9),CONCATENATE("Spring ",$AD$3+11),IF(AND(AK2&gt;=7,AK2&lt;=10),CONCATENATE("Summer ",$AD$3+11),IF(OR(AK2&gt;=10,AK2&lt;=2),CONCATENATE("Summer ",$AD$3+11),IF(AND(AK2&gt;=7,AK2&lt;=10),CONCATENATE("Fall ",$AD$3+11),IF(OR(AK2&gt;=10,AK2&lt;=2),CONCATENATE("Fall ",$AD$3+11),IF(AND(AK2&gt;=3,AK2&lt;=6),CONCATENATE("Fall ",$AD$3+11),"N/A"))))))</f>
        <v>Spring 2035</v>
      </c>
    </row>
    <row r="71" spans="1:34" x14ac:dyDescent="0.35">
      <c r="A71" s="141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6"/>
      <c r="P71" s="26"/>
      <c r="Q71" s="162"/>
      <c r="S71" s="53" t="str">
        <f>IF(AND($AD$2&gt;=7,$AD$2&lt;=9),CONCATENATE("Summer ",$AD$3),IF(AND(AD2&gt;=7,AD2&lt;=10),CONCATENATE("Fall ",$AD$3),IF(OR(AD2&gt;=10,AD2&lt;=2),CONCATENATE("Fall ",$AD$3),IF(AND(AD2&gt;=7,AD2&lt;=10),CONCATENATE("Spring",$AD$3+1),IF(OR(AD2&gt;=10,AD2&lt;=2),CONCATENATE("Spring ",$AD$3+1),IF(AND(AD2&gt;=3,AD2&lt;=6),CONCATENATE("Spring ",$AD$3+1),"N/A"))))))</f>
        <v>Summer 2024</v>
      </c>
      <c r="T71" s="53" t="str">
        <f>IF(AND($AD$2&gt;=7,$AD$2&lt;=9),CONCATENATE("Summer ",$AD$3+1),IF(AND(AD2&gt;=7,AD2&lt;=10),CONCATENATE("Fall ",$AD$3+1),IF(OR(AD2&gt;=10,AD2&lt;=2),CONCATENATE("Fall ",$AD$3+1),IF(AND(AD2&gt;=7,AD2&lt;=10),CONCATENATE("Spring",$AD$3+2),IF(OR(AD2&gt;=10,AD2&lt;=2),CONCATENATE("Spring ",$AD$3+2),IF(AND(AD2&gt;=3,AD2&lt;=6),CONCATENATE("Spring ",$AD$3+2),"N/A"))))))</f>
        <v>Summer 2025</v>
      </c>
      <c r="U71" s="53" t="str">
        <f>IF(AND($AD$2&gt;=7,$AD$2&lt;=9),CONCATENATE("Summer ",$AD$3+2),IF(AND(AD2&gt;=7,AD2&lt;=10),CONCATENATE("Fall ",$AD$3+2),IF(OR(AD2&gt;=10,AD2&lt;=2),CONCATENATE("Fall ",$AD$3+2),IF(AND(AD2&gt;=7,AD2&lt;=10),CONCATENATE("Spring",$AD$3+3),IF(OR(AD2&gt;=10,AD2&lt;=2),CONCATENATE("Spring ",$AD$3+3),IF(AND(AD2&gt;=3,AD2&lt;=6),CONCATENATE("Spring ",$AD$3+3),"N/A"))))))</f>
        <v>Summer 2026</v>
      </c>
      <c r="V71" s="53" t="str">
        <f>IF(AND($AD$2&gt;=7,$AD$2&lt;=9),CONCATENATE("Summer ",$AD$3+3),IF(AND(AD2&gt;=7,AD2&lt;=10),CONCATENATE("Fall ",$AD$3+3),IF(OR(AD2&gt;=10,AD2&lt;=2),CONCATENATE("Fall ",$AD$3+3),IF(AND(AD2&gt;=7,AD2&lt;=10),CONCATENATE("Spring",$AD$3+4),IF(OR(AD2&gt;=10,AD2&lt;=2),CONCATENATE("Spring ",$AD$3+4),IF(AND(AD2&gt;=3,AD2&lt;=6),CONCATENATE("Spring ",$AD$3+4),"N/A"))))))</f>
        <v>Summer 2027</v>
      </c>
      <c r="W71" s="53" t="str">
        <f>IF(AND($AD$2&gt;=7,$AD$2&lt;=9),CONCATENATE("Summer ",$AD$3+4),IF(AND(AD2&gt;=7,AD2&lt;=10),CONCATENATE("Fall ",$AD$3+4),IF(OR(AD2&gt;=10,AD2&lt;=2),CONCATENATE("Fall ",$AD$3+4),IF(AND(AD2&gt;=7,AD2&lt;=10),CONCATENATE("Spring",$AD$3+5),IF(OR(AD2&gt;=10,AD2&lt;=2),CONCATENATE("Spring ",$AD$3+5),IF(AND(AD2&gt;=3,AD2&lt;=6),CONCATENATE("Spring ",$AD$3+5),"N/A"))))))</f>
        <v>Summer 2028</v>
      </c>
      <c r="X71" s="53" t="str">
        <f>IF(AND($AD$2&gt;=7,$AD$2&lt;=9),CONCATENATE("Summer ",$AD$3+5),IF(AND(AE2&gt;=7,AE2&lt;=10),CONCATENATE("Fall ",$AD$3+5),IF(OR(AE2&gt;=10,AE2&lt;=2),CONCATENATE("Fall ",$AD$3+5),IF(AND(AE2&gt;=7,AE2&lt;=10),CONCATENATE("Spring",$AD$3+6),IF(OR(AE2&gt;=10,AE2&lt;=2),CONCATENATE("Spring ",$AD$3+6),IF(AND(AE2&gt;=3,AE2&lt;=6),CONCATENATE("Spring ",$AD$3+6),"N/A"))))))</f>
        <v>Summer 2029</v>
      </c>
      <c r="Y71" s="53" t="str">
        <f>IF(AND($AD$2&gt;=7,$AD$2&lt;=9),CONCATENATE("Summer ",$AD$3+6),IF(AND(AF2&gt;=7,AF2&lt;=10),CONCATENATE("Fall ",$AD$3+6),IF(OR(AF2&gt;=10,AF2&lt;=2),CONCATENATE("Fall ",$AD$3+6),IF(AND(AF2&gt;=7,AF2&lt;=10),CONCATENATE("Spring",$AD$3+7),IF(OR(AF2&gt;=10,AF2&lt;=2),CONCATENATE("Spring ",$AD$3+7),IF(AND(AF2&gt;=3,AF2&lt;=6),CONCATENATE("Spring ",$AD$3+7),"N/A"))))))</f>
        <v>Summer 2030</v>
      </c>
      <c r="Z71" s="53" t="str">
        <f>IF(AND($AD$2&gt;=7,$AD$2&lt;=9),CONCATENATE("Summer ",$AD$3+7),IF(AND(AG2&gt;=7,AG2&lt;=10),CONCATENATE("Fall ",$AD$3+7),IF(OR(AG2&gt;=10,AG2&lt;=2),CONCATENATE("Fall ",$AD$3+7),IF(AND(AG2&gt;=7,AG2&lt;=10),CONCATENATE("Spring",$AD$3+8),IF(OR(AG2&gt;=10,AG2&lt;=2),CONCATENATE("Spring ",$AD$3+8),IF(AND(AG2&gt;=3,AG2&lt;=6),CONCATENATE("Spring ",$AD$3+8),"N/A"))))))</f>
        <v>Summer 2031</v>
      </c>
      <c r="AA71" s="53" t="str">
        <f>IF(AND($AD$2&gt;=7,$AD$2&lt;=9),CONCATENATE("Summer ",$AD$3+8),IF(AND(AH2&gt;=7,AH2&lt;=10),CONCATENATE("Fall ",$AD$3+8),IF(OR(AH2&gt;=10,AH2&lt;=2),CONCATENATE("Fall ",$AD$3+8),IF(AND(AH2&gt;=7,AH2&lt;=10),CONCATENATE("Spring",$AD$3+9),IF(OR(AH2&gt;=10,AH2&lt;=2),CONCATENATE("Spring ",$AD$3+9),IF(AND(AH2&gt;=3,AH2&lt;=6),CONCATENATE("Spring ",$AD$3+9),"N/A"))))))</f>
        <v>Summer 2032</v>
      </c>
      <c r="AB71" s="53" t="str">
        <f>IF(AND($AD$2&gt;=7,$AD$2&lt;=9),CONCATENATE("Summer ",$AD$3+9),IF(AND(AI2&gt;=7,AI2&lt;=10),CONCATENATE("Fall ",$AD$3+9),IF(OR(AI2&gt;=10,AI2&lt;=2),CONCATENATE("Fall ",$AD$3+9),IF(AND(AI2&gt;=7,AI2&lt;=10),CONCATENATE("Spring",$AD$3+10),IF(OR(AI2&gt;=10,AI2&lt;=2),CONCATENATE("Spring ",$AD$3+10),IF(AND(AI2&gt;=3,AI2&lt;=6),CONCATENATE("Spring ",$AD$3+10),"N/A"))))))</f>
        <v>Summer 2033</v>
      </c>
      <c r="AC71" s="53" t="str">
        <f>IF(AND($AD$2&gt;=7,$AD$2&lt;=9),CONCATENATE("Summer ",$AD$3+10),IF(AND(AJ2&gt;=7,AJ2&lt;=10),CONCATENATE("Fall ",$AD$3+10),IF(OR(AJ2&gt;=10,AJ2&lt;=2),CONCATENATE("Fall ",$AD$3+10),IF(AND(AJ2&gt;=7,AJ2&lt;=10),CONCATENATE("Spring",$AD$3+11),IF(OR(AJ2&gt;=10,AJ2&lt;=2),CONCATENATE("Spring ",$AD$3+11),IF(AND(AJ2&gt;=3,AJ2&lt;=6),CONCATENATE("Spring ",$AD$3+11),"N/A"))))))</f>
        <v>Summer 2034</v>
      </c>
      <c r="AD71" s="53" t="str">
        <f>IF(AND($AD$2&gt;=7,$AD$2&lt;=9),CONCATENATE("Summer ",$AD$3+11),IF(AND(AK2&gt;=7,AK2&lt;=10),CONCATENATE("Fall ",$AD$3+11),IF(OR(AK2&gt;=10,AK2&lt;=2),CONCATENATE("Fall ",$AD$3+11),IF(AND(AK2&gt;=7,AK2&lt;=11),CONCATENATE("Spring",$AD$3+12),IF(OR(AK2&gt;=10,AK2&lt;=2),CONCATENATE("Spring ",$AD$3+12),IF(AND(AK2&gt;=3,AK2&lt;=6),CONCATENATE("Spring ",$AD$3+12),"N/A"))))))</f>
        <v>Summer 2035</v>
      </c>
    </row>
    <row r="72" spans="1:34" x14ac:dyDescent="0.35">
      <c r="A72" s="141"/>
      <c r="B72" s="104" t="str">
        <f t="shared" ref="B72:L72" si="98">IF(AND(B73=$AE$5,$O74=9),$AE$3,IF(AND(B73=$AF$5,$O74=9),$AF$3,IF(AND(B73=$AG$5,$O74=9),$AG$3,IF(AND(B73=$AH$5,$O74=9),$AH$3,IF(AND(B73=$AI$5,$O74=9),$AI$3,IF(AND(B73=$AJ$5,$O74=9),$AJ$3,IF(AND(B73=$AK$5,$O74=9),$AK$3,IF(AND(B73=$AL$5,$O74=9),$AL$3,IF(AND(B73=$AM$5,$O74=9),$AM$3,IF(AND(B73=$AN$5,$O74=9),$AN$3,IF(AND(B73=$AO$5,$O74=9),$AO$3,IF(AND(B73=$AP$5,$O74=9),$AJ$3,IF(AND(B73=$AE$4,$O74=12),$AE$3,IF(AND(B73=$AF$4,$O74=12),$AF$3,IF(AND(B73=$AG$4,$O74=12),$AG$3,IF(AND(B73=$AH$4,$O74=12),$AH$3,IF(AND(B73=$AI$4,$O74=12),$AI$3,IF(AND(B73=$AJ$4,$O74=12),$AJ$3,IF(AND(B73=$AK$4,$O74=12),$AK$3,IF(AND(B73=$AL$4,$O74=12),$AL$3,IF(AND(B73=$AM$4,$O74=12),$AM$3,IF(AND(B73=$AN$4,$O74=12),$AN$3,IF(AND(B73=$AO$4,$O74=12),$AO$3,IF(AND(B73=$AP$4,$O74=12),$AJ$3," "))))))))))))))))))))))))</f>
        <v xml:space="preserve"> </v>
      </c>
      <c r="C72" s="104" t="str">
        <f t="shared" si="98"/>
        <v>Year 1</v>
      </c>
      <c r="D72" s="104" t="str">
        <f t="shared" si="98"/>
        <v>Year 2</v>
      </c>
      <c r="E72" s="104" t="str">
        <f t="shared" si="98"/>
        <v>Year 3</v>
      </c>
      <c r="F72" s="104" t="str">
        <f t="shared" si="98"/>
        <v>Year 4</v>
      </c>
      <c r="G72" s="104" t="str">
        <f t="shared" si="98"/>
        <v>Year 5</v>
      </c>
      <c r="H72" s="104" t="str">
        <f t="shared" si="98"/>
        <v>Year 6</v>
      </c>
      <c r="I72" s="104" t="str">
        <f t="shared" si="98"/>
        <v>Year 7</v>
      </c>
      <c r="J72" s="104" t="str">
        <f t="shared" si="98"/>
        <v>Year 8</v>
      </c>
      <c r="K72" s="104" t="str">
        <f t="shared" si="98"/>
        <v>Year 9</v>
      </c>
      <c r="L72" s="104" t="str">
        <f t="shared" si="98"/>
        <v>Year 10</v>
      </c>
      <c r="M72" s="104" t="str">
        <f t="shared" ref="M72" si="99">IF(AND(M73=$AE$5,$O74=9),$AE$3,IF(AND(M73=$AF$5,$O74=9),$AF$3,IF(AND(M73=$AG$5,$O74=9),$AG$3,IF(AND(M73=$AH$5,$O74=9),$AH$3,IF(AND(M73=$AI$5,$O74=9),$AI$3,IF(AND(M73=$AJ$5,$O74=9),$AJ$3,IF(AND(M73=$AK$5,$O74=9),$AK$3,IF(AND(M73=$AL$5,$O74=9),$AL$3,IF(AND(M73=$AM$5,$O74=9),$AM$3,IF(AND(M73=$AN$5,$O74=9),$AN$3,IF(AND(M73=$AO$5,$O74=9),$AO$3,IF(AND(M73=$AP$5,$O74=9),$AJ$3,IF(AND(M73=$AE$4,$O74=12),$AE$3,IF(AND(M73=$AF$4,$O74=12),$AF$3,IF(AND(M73=$AG$4,$O74=12),$AG$3,IF(AND(M73=$AH$4,$O74=12),$AH$3,IF(AND(M73=$AI$4,$O74=12),$AI$3,IF(AND(M73=$AJ$4,$O74=12),$AJ$3,IF(AND(M73=$AK$4,$O74=12),$AK$3,IF(AND(M73=$AL$4,$O74=12),$AL$3,IF(AND(M73=$AM$4,$O74=12),$AM$3,IF(AND(M73=$AN$4,$O74=12),$AN$3,IF(AND(M73=$AO$4,$O74=12),$AO$3,IF(AND(M73=$AP$4,$O74=12),$AJ$3," "))))))))))))))))))))))))</f>
        <v>Year 11</v>
      </c>
      <c r="N72" s="104"/>
      <c r="O72" s="26"/>
      <c r="P72" s="26"/>
      <c r="Q72" s="162"/>
      <c r="S72" s="34" t="str">
        <f t="shared" ref="S72:AD72" si="100">IF(AND($AD$2&gt;=1,$AD$2&lt;=6),CONCATENATE("FY",RIGHT(AE4,4),"&amp;",RIGHT(AF4,2)),IF(AND($AD$2&gt;=7,$AD$2&lt;=9),CONCATENATE("FY",RIGHT(AE4,4)),IF(AND($AD$2&gt;=10,$AD$2&lt;=12),CONCATENATE("FY",RIGHT(AE4,4),"&amp;",RIGHT(AF4,2)),"N/A")))</f>
        <v>FY2024</v>
      </c>
      <c r="T72" s="34" t="str">
        <f t="shared" si="100"/>
        <v>FY2025</v>
      </c>
      <c r="U72" s="34" t="str">
        <f t="shared" si="100"/>
        <v>FY2026</v>
      </c>
      <c r="V72" s="34" t="str">
        <f t="shared" si="100"/>
        <v>FY2027</v>
      </c>
      <c r="W72" s="34" t="str">
        <f t="shared" si="100"/>
        <v>FY2028</v>
      </c>
      <c r="X72" s="34" t="str">
        <f t="shared" si="100"/>
        <v>FY2029</v>
      </c>
      <c r="Y72" s="34" t="str">
        <f t="shared" si="100"/>
        <v>FY2030</v>
      </c>
      <c r="Z72" s="34" t="str">
        <f t="shared" si="100"/>
        <v>FY2031</v>
      </c>
      <c r="AA72" s="34" t="str">
        <f t="shared" si="100"/>
        <v>FY2032</v>
      </c>
      <c r="AB72" s="34" t="str">
        <f t="shared" si="100"/>
        <v>FY2033</v>
      </c>
      <c r="AC72" s="34" t="str">
        <f t="shared" si="100"/>
        <v>FY2034</v>
      </c>
      <c r="AD72" s="34" t="str">
        <f t="shared" si="100"/>
        <v>FY2035</v>
      </c>
    </row>
    <row r="73" spans="1:34" ht="15" thickBot="1" x14ac:dyDescent="0.4">
      <c r="A73" s="140" t="s">
        <v>74</v>
      </c>
      <c r="B73" s="55" t="str">
        <f t="shared" ref="B73:I73" si="101">+N$2</f>
        <v>FY2023</v>
      </c>
      <c r="C73" s="55" t="str">
        <f t="shared" si="101"/>
        <v>FY2024</v>
      </c>
      <c r="D73" s="55" t="str">
        <f t="shared" si="101"/>
        <v>FY2025</v>
      </c>
      <c r="E73" s="55" t="str">
        <f t="shared" si="101"/>
        <v>FY2026</v>
      </c>
      <c r="F73" s="55" t="str">
        <f t="shared" si="101"/>
        <v>FY2027</v>
      </c>
      <c r="G73" s="55" t="str">
        <f t="shared" si="101"/>
        <v>FY2028</v>
      </c>
      <c r="H73" s="55" t="str">
        <f t="shared" si="101"/>
        <v>FY2029</v>
      </c>
      <c r="I73" s="55" t="str">
        <f t="shared" si="101"/>
        <v>FY2030</v>
      </c>
      <c r="J73" s="55" t="str">
        <f t="shared" ref="J73" si="102">+V$2</f>
        <v>FY2031</v>
      </c>
      <c r="K73" s="55" t="str">
        <f t="shared" ref="K73" si="103">+W$2</f>
        <v>FY2032</v>
      </c>
      <c r="L73" s="55" t="str">
        <f t="shared" ref="L73:M73" si="104">+X$2</f>
        <v>FY2033</v>
      </c>
      <c r="M73" s="55" t="str">
        <f t="shared" si="104"/>
        <v>FY2034</v>
      </c>
      <c r="N73" s="55"/>
      <c r="O73" s="32" t="s">
        <v>20</v>
      </c>
      <c r="P73" s="89" t="s">
        <v>64</v>
      </c>
      <c r="Q73" s="161"/>
      <c r="R73" s="427" t="s">
        <v>71</v>
      </c>
      <c r="S73" s="50" t="s">
        <v>1</v>
      </c>
      <c r="T73" s="51" t="s">
        <v>2</v>
      </c>
      <c r="U73" s="51" t="s">
        <v>3</v>
      </c>
      <c r="V73" s="51" t="s">
        <v>39</v>
      </c>
      <c r="W73" s="51" t="s">
        <v>45</v>
      </c>
      <c r="X73" s="51" t="s">
        <v>185</v>
      </c>
      <c r="Y73" s="51" t="s">
        <v>186</v>
      </c>
      <c r="Z73" s="51" t="s">
        <v>187</v>
      </c>
      <c r="AA73" s="51" t="s">
        <v>188</v>
      </c>
      <c r="AB73" s="51" t="s">
        <v>189</v>
      </c>
      <c r="AC73" s="51" t="s">
        <v>190</v>
      </c>
      <c r="AD73" s="51" t="s">
        <v>191</v>
      </c>
    </row>
    <row r="74" spans="1:34" x14ac:dyDescent="0.35">
      <c r="A74" s="141" t="str">
        <f>CONCATENATE("Base Salary: ",O74," month term")</f>
        <v>Base Salary: 12 month term</v>
      </c>
      <c r="B74" s="62">
        <v>47476</v>
      </c>
      <c r="C74" s="109">
        <f t="shared" ref="C74:M74" si="105">ROUND(+B74*(1+$P$74),0)</f>
        <v>48900</v>
      </c>
      <c r="D74" s="109">
        <f t="shared" si="105"/>
        <v>50367</v>
      </c>
      <c r="E74" s="109">
        <f t="shared" si="105"/>
        <v>51878</v>
      </c>
      <c r="F74" s="109">
        <f t="shared" si="105"/>
        <v>53434</v>
      </c>
      <c r="G74" s="109">
        <f t="shared" si="105"/>
        <v>55037</v>
      </c>
      <c r="H74" s="109">
        <f t="shared" si="105"/>
        <v>56688</v>
      </c>
      <c r="I74" s="109">
        <f t="shared" si="105"/>
        <v>58389</v>
      </c>
      <c r="J74" s="109">
        <f t="shared" si="105"/>
        <v>60141</v>
      </c>
      <c r="K74" s="109">
        <f t="shared" si="105"/>
        <v>61945</v>
      </c>
      <c r="L74" s="109">
        <f t="shared" si="105"/>
        <v>63803</v>
      </c>
      <c r="M74" s="109">
        <f t="shared" si="105"/>
        <v>65717</v>
      </c>
      <c r="N74" s="109"/>
      <c r="O74" s="319">
        <v>12</v>
      </c>
      <c r="P74" s="312">
        <v>0.03</v>
      </c>
      <c r="Q74" s="163"/>
      <c r="R74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74" s="60">
        <f t="shared" ref="S74:X76" si="106">+B80</f>
        <v>0</v>
      </c>
      <c r="T74" s="60">
        <f t="shared" si="106"/>
        <v>0</v>
      </c>
      <c r="U74" s="60">
        <f t="shared" si="106"/>
        <v>0</v>
      </c>
      <c r="V74" s="60">
        <f t="shared" si="106"/>
        <v>0</v>
      </c>
      <c r="W74" s="60">
        <f t="shared" si="106"/>
        <v>0</v>
      </c>
      <c r="X74" s="60">
        <f t="shared" si="106"/>
        <v>0</v>
      </c>
      <c r="Y74" s="60">
        <f t="shared" ref="Y74:AD74" si="107">+H80</f>
        <v>0</v>
      </c>
      <c r="Z74" s="60">
        <f t="shared" si="107"/>
        <v>0</v>
      </c>
      <c r="AA74" s="60">
        <f t="shared" si="107"/>
        <v>0</v>
      </c>
      <c r="AB74" s="60">
        <f t="shared" si="107"/>
        <v>0</v>
      </c>
      <c r="AC74" s="60">
        <f t="shared" si="107"/>
        <v>0</v>
      </c>
      <c r="AD74" s="60">
        <f t="shared" si="107"/>
        <v>0</v>
      </c>
    </row>
    <row r="75" spans="1:34" x14ac:dyDescent="0.35">
      <c r="A75" s="141" t="s">
        <v>44</v>
      </c>
      <c r="B75" s="313">
        <v>0</v>
      </c>
      <c r="C75" s="313">
        <v>0</v>
      </c>
      <c r="D75" s="313">
        <v>0</v>
      </c>
      <c r="E75" s="313">
        <v>0</v>
      </c>
      <c r="F75" s="313">
        <v>0</v>
      </c>
      <c r="G75" s="313">
        <v>0</v>
      </c>
      <c r="H75" s="313">
        <v>0</v>
      </c>
      <c r="I75" s="313">
        <v>0</v>
      </c>
      <c r="J75" s="313">
        <v>0</v>
      </c>
      <c r="K75" s="313">
        <v>0</v>
      </c>
      <c r="L75" s="313">
        <v>0</v>
      </c>
      <c r="M75" s="313">
        <v>0</v>
      </c>
      <c r="N75" s="402"/>
      <c r="O75" s="25"/>
      <c r="P75" s="25"/>
      <c r="Q75" s="141"/>
      <c r="R75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75" s="60">
        <f t="shared" si="106"/>
        <v>0</v>
      </c>
      <c r="T75" s="60">
        <f t="shared" si="106"/>
        <v>0</v>
      </c>
      <c r="U75" s="60">
        <f t="shared" si="106"/>
        <v>0</v>
      </c>
      <c r="V75" s="60">
        <f t="shared" si="106"/>
        <v>0</v>
      </c>
      <c r="W75" s="60">
        <f t="shared" si="106"/>
        <v>0</v>
      </c>
      <c r="X75" s="60">
        <f t="shared" si="106"/>
        <v>0</v>
      </c>
      <c r="Y75" s="60">
        <f t="shared" ref="Y75:AD75" si="108">+H81</f>
        <v>0</v>
      </c>
      <c r="Z75" s="60">
        <f t="shared" si="108"/>
        <v>0</v>
      </c>
      <c r="AA75" s="60">
        <f t="shared" si="108"/>
        <v>0</v>
      </c>
      <c r="AB75" s="60">
        <f t="shared" si="108"/>
        <v>0</v>
      </c>
      <c r="AC75" s="60">
        <f t="shared" si="108"/>
        <v>0</v>
      </c>
      <c r="AD75" s="60">
        <f t="shared" si="108"/>
        <v>0</v>
      </c>
    </row>
    <row r="76" spans="1:34" x14ac:dyDescent="0.35">
      <c r="A76" s="141" t="str">
        <f>CONCATENATE("FTE for ",O74," Months")</f>
        <v>FTE for 12 Months</v>
      </c>
      <c r="B76" s="395">
        <f t="shared" ref="B76:L76" si="109">+B75/$O74</f>
        <v>0</v>
      </c>
      <c r="C76" s="395">
        <f t="shared" si="109"/>
        <v>0</v>
      </c>
      <c r="D76" s="395">
        <f t="shared" si="109"/>
        <v>0</v>
      </c>
      <c r="E76" s="395">
        <f t="shared" si="109"/>
        <v>0</v>
      </c>
      <c r="F76" s="395">
        <f t="shared" si="109"/>
        <v>0</v>
      </c>
      <c r="G76" s="395">
        <f t="shared" si="109"/>
        <v>0</v>
      </c>
      <c r="H76" s="395">
        <f t="shared" si="109"/>
        <v>0</v>
      </c>
      <c r="I76" s="395">
        <f t="shared" si="109"/>
        <v>0</v>
      </c>
      <c r="J76" s="395">
        <f t="shared" si="109"/>
        <v>0</v>
      </c>
      <c r="K76" s="395">
        <f t="shared" si="109"/>
        <v>0</v>
      </c>
      <c r="L76" s="395">
        <f t="shared" si="109"/>
        <v>0</v>
      </c>
      <c r="M76" s="395">
        <f t="shared" ref="M76" si="110">+M75/$O74</f>
        <v>0</v>
      </c>
      <c r="N76" s="403"/>
      <c r="O76" s="89"/>
      <c r="P76" s="89"/>
      <c r="Q76" s="161"/>
      <c r="R76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76" s="60">
        <f t="shared" si="106"/>
        <v>0</v>
      </c>
      <c r="T76" s="60">
        <f t="shared" si="106"/>
        <v>0</v>
      </c>
      <c r="U76" s="60">
        <f t="shared" si="106"/>
        <v>0</v>
      </c>
      <c r="V76" s="60">
        <f t="shared" si="106"/>
        <v>0</v>
      </c>
      <c r="W76" s="60">
        <f t="shared" si="106"/>
        <v>0</v>
      </c>
      <c r="X76" s="60">
        <f t="shared" si="106"/>
        <v>0</v>
      </c>
      <c r="Y76" s="60">
        <f t="shared" ref="Y76:AD76" si="111">+H82</f>
        <v>0</v>
      </c>
      <c r="Z76" s="60">
        <f t="shared" si="111"/>
        <v>0</v>
      </c>
      <c r="AA76" s="60">
        <f t="shared" si="111"/>
        <v>0</v>
      </c>
      <c r="AB76" s="60">
        <f t="shared" si="111"/>
        <v>0</v>
      </c>
      <c r="AC76" s="60">
        <f t="shared" si="111"/>
        <v>0</v>
      </c>
      <c r="AD76" s="60">
        <f t="shared" si="111"/>
        <v>0</v>
      </c>
    </row>
    <row r="77" spans="1:34" x14ac:dyDescent="0.35">
      <c r="A77" s="141" t="s">
        <v>21</v>
      </c>
      <c r="B77" s="110">
        <f t="shared" ref="B77:K77" si="112">ROUND((B74*B76*$Q$35)+(C74*B76*$Q$36),0)</f>
        <v>0</v>
      </c>
      <c r="C77" s="110">
        <f t="shared" si="112"/>
        <v>0</v>
      </c>
      <c r="D77" s="110">
        <f t="shared" si="112"/>
        <v>0</v>
      </c>
      <c r="E77" s="110">
        <f t="shared" si="112"/>
        <v>0</v>
      </c>
      <c r="F77" s="110">
        <f t="shared" si="112"/>
        <v>0</v>
      </c>
      <c r="G77" s="110">
        <f t="shared" si="112"/>
        <v>0</v>
      </c>
      <c r="H77" s="110">
        <f t="shared" si="112"/>
        <v>0</v>
      </c>
      <c r="I77" s="110">
        <f t="shared" si="112"/>
        <v>0</v>
      </c>
      <c r="J77" s="110">
        <f t="shared" si="112"/>
        <v>0</v>
      </c>
      <c r="K77" s="110">
        <f t="shared" si="112"/>
        <v>0</v>
      </c>
      <c r="L77" s="110">
        <f>ROUND((L74*L76*$Q$35)+(O74*L76*$Q$36),0)</f>
        <v>0</v>
      </c>
      <c r="M77" s="110">
        <f>ROUND((M74*M76*$Q$35)+(P74*M76*$Q$36),0)</f>
        <v>0</v>
      </c>
      <c r="N77" s="404"/>
      <c r="O77" s="89"/>
      <c r="P77" s="89"/>
      <c r="Q77" s="161"/>
      <c r="R77" s="25"/>
      <c r="S77" s="33"/>
      <c r="T77" s="33"/>
      <c r="U77" s="33"/>
      <c r="V77" s="33"/>
      <c r="W77" s="33"/>
      <c r="X77" s="33"/>
      <c r="Y77" s="23"/>
    </row>
    <row r="78" spans="1:34" x14ac:dyDescent="0.35">
      <c r="A78" s="14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89"/>
      <c r="P78" s="89"/>
      <c r="Q78" s="161"/>
      <c r="R78" s="25"/>
      <c r="S78" s="33"/>
      <c r="T78" s="33"/>
      <c r="U78" s="33"/>
      <c r="V78" s="33"/>
      <c r="W78" s="33"/>
      <c r="X78" s="33"/>
      <c r="Y78" s="23"/>
    </row>
    <row r="79" spans="1:34" ht="15" thickBot="1" x14ac:dyDescent="0.4">
      <c r="A79" s="140" t="s">
        <v>70</v>
      </c>
      <c r="B79" s="24" t="s">
        <v>1</v>
      </c>
      <c r="C79" s="24" t="s">
        <v>2</v>
      </c>
      <c r="D79" s="24" t="s">
        <v>3</v>
      </c>
      <c r="E79" s="24" t="s">
        <v>39</v>
      </c>
      <c r="F79" s="24" t="s">
        <v>45</v>
      </c>
      <c r="G79" s="24" t="s">
        <v>185</v>
      </c>
      <c r="H79" s="24" t="s">
        <v>186</v>
      </c>
      <c r="I79" s="24" t="s">
        <v>187</v>
      </c>
      <c r="J79" s="24" t="s">
        <v>188</v>
      </c>
      <c r="K79" s="24" t="s">
        <v>189</v>
      </c>
      <c r="L79" s="24"/>
      <c r="M79" s="24"/>
      <c r="N79" s="23"/>
      <c r="O79" s="89"/>
      <c r="P79" s="89"/>
      <c r="Q79" s="161"/>
      <c r="R79" s="427" t="s">
        <v>105</v>
      </c>
      <c r="S79" s="50" t="s">
        <v>1</v>
      </c>
      <c r="T79" s="51" t="s">
        <v>2</v>
      </c>
      <c r="U79" s="51" t="s">
        <v>3</v>
      </c>
      <c r="V79" s="51" t="s">
        <v>39</v>
      </c>
      <c r="W79" s="51" t="s">
        <v>45</v>
      </c>
      <c r="X79" s="51" t="s">
        <v>185</v>
      </c>
      <c r="Y79" s="51" t="s">
        <v>186</v>
      </c>
      <c r="Z79" s="51" t="s">
        <v>187</v>
      </c>
      <c r="AA79" s="51" t="s">
        <v>188</v>
      </c>
      <c r="AB79" s="51" t="s">
        <v>189</v>
      </c>
    </row>
    <row r="80" spans="1:34" x14ac:dyDescent="0.35">
      <c r="A80" s="141" t="str">
        <f>+R74</f>
        <v>Number of Students (Fall)</v>
      </c>
      <c r="B80" s="315">
        <v>0</v>
      </c>
      <c r="C80" s="315">
        <v>0</v>
      </c>
      <c r="D80" s="315">
        <v>0</v>
      </c>
      <c r="E80" s="315">
        <v>0</v>
      </c>
      <c r="F80" s="315">
        <v>0</v>
      </c>
      <c r="G80" s="315">
        <v>0</v>
      </c>
      <c r="H80" s="315">
        <v>0</v>
      </c>
      <c r="I80" s="315">
        <v>0</v>
      </c>
      <c r="J80" s="315">
        <v>0</v>
      </c>
      <c r="K80" s="315">
        <v>0</v>
      </c>
      <c r="L80" s="23"/>
      <c r="M80" s="23"/>
      <c r="N80" s="23"/>
      <c r="O80" s="89"/>
      <c r="P80" s="89"/>
      <c r="Q80" s="161"/>
      <c r="R80" s="36" t="s">
        <v>22</v>
      </c>
      <c r="S80" s="37">
        <f t="shared" ref="S80:X80" si="113">SUM(S90:S92)</f>
        <v>0</v>
      </c>
      <c r="T80" s="37">
        <f t="shared" si="113"/>
        <v>0</v>
      </c>
      <c r="U80" s="37">
        <f t="shared" si="113"/>
        <v>0</v>
      </c>
      <c r="V80" s="37">
        <f t="shared" si="113"/>
        <v>0</v>
      </c>
      <c r="W80" s="37">
        <f t="shared" si="113"/>
        <v>0</v>
      </c>
      <c r="X80" s="37">
        <f t="shared" si="113"/>
        <v>0</v>
      </c>
      <c r="Y80" s="37">
        <f t="shared" ref="Y80:AB80" si="114">SUM(Y90:Y92)</f>
        <v>0</v>
      </c>
      <c r="Z80" s="37">
        <f t="shared" si="114"/>
        <v>0</v>
      </c>
      <c r="AA80" s="37">
        <f t="shared" si="114"/>
        <v>0</v>
      </c>
      <c r="AB80" s="37">
        <f t="shared" si="114"/>
        <v>0</v>
      </c>
    </row>
    <row r="81" spans="1:28" x14ac:dyDescent="0.35">
      <c r="A81" s="141" t="str">
        <f>+R75</f>
        <v>Number of Students (Spring)</v>
      </c>
      <c r="B81" s="316">
        <f t="shared" ref="B81:C81" si="115">+B80</f>
        <v>0</v>
      </c>
      <c r="C81" s="316">
        <f t="shared" si="115"/>
        <v>0</v>
      </c>
      <c r="D81" s="316">
        <f t="shared" ref="D81:G81" si="116">+D80</f>
        <v>0</v>
      </c>
      <c r="E81" s="316">
        <f t="shared" si="116"/>
        <v>0</v>
      </c>
      <c r="F81" s="316">
        <f t="shared" si="116"/>
        <v>0</v>
      </c>
      <c r="G81" s="316">
        <f t="shared" si="116"/>
        <v>0</v>
      </c>
      <c r="H81" s="316">
        <f t="shared" ref="H81" si="117">+H80</f>
        <v>0</v>
      </c>
      <c r="I81" s="316">
        <f t="shared" ref="I81" si="118">+I80</f>
        <v>0</v>
      </c>
      <c r="J81" s="316">
        <f t="shared" ref="J81" si="119">+J80</f>
        <v>0</v>
      </c>
      <c r="K81" s="316">
        <f t="shared" ref="K81" si="120">+K80</f>
        <v>0</v>
      </c>
      <c r="L81" s="23"/>
      <c r="M81" s="23"/>
      <c r="N81" s="23"/>
      <c r="O81" s="89"/>
      <c r="P81" s="89"/>
      <c r="Q81" s="161"/>
      <c r="R81" s="36" t="s">
        <v>8</v>
      </c>
      <c r="S81" s="37">
        <f t="shared" ref="S81:X81" si="121">SUM(S93:S95)</f>
        <v>0</v>
      </c>
      <c r="T81" s="37">
        <f t="shared" si="121"/>
        <v>0</v>
      </c>
      <c r="U81" s="37">
        <f t="shared" si="121"/>
        <v>0</v>
      </c>
      <c r="V81" s="37">
        <f t="shared" si="121"/>
        <v>0</v>
      </c>
      <c r="W81" s="37">
        <f t="shared" si="121"/>
        <v>0</v>
      </c>
      <c r="X81" s="37">
        <f t="shared" si="121"/>
        <v>0</v>
      </c>
      <c r="Y81" s="37">
        <f t="shared" ref="Y81:AB81" si="122">SUM(Y93:Y95)</f>
        <v>0</v>
      </c>
      <c r="Z81" s="37">
        <f t="shared" si="122"/>
        <v>0</v>
      </c>
      <c r="AA81" s="37">
        <f t="shared" si="122"/>
        <v>0</v>
      </c>
      <c r="AB81" s="37">
        <f t="shared" si="122"/>
        <v>0</v>
      </c>
    </row>
    <row r="82" spans="1:28" x14ac:dyDescent="0.35">
      <c r="A82" s="141" t="str">
        <f>+R76</f>
        <v>Number of Students (Summer)</v>
      </c>
      <c r="B82" s="316">
        <f t="shared" ref="B82:C82" si="123">+B80</f>
        <v>0</v>
      </c>
      <c r="C82" s="316">
        <f t="shared" si="123"/>
        <v>0</v>
      </c>
      <c r="D82" s="316">
        <f t="shared" ref="D82:G82" si="124">+D80</f>
        <v>0</v>
      </c>
      <c r="E82" s="316">
        <f t="shared" si="124"/>
        <v>0</v>
      </c>
      <c r="F82" s="316">
        <f t="shared" si="124"/>
        <v>0</v>
      </c>
      <c r="G82" s="316">
        <f t="shared" si="124"/>
        <v>0</v>
      </c>
      <c r="H82" s="316">
        <f t="shared" ref="H82:K82" si="125">+H80</f>
        <v>0</v>
      </c>
      <c r="I82" s="316">
        <f t="shared" si="125"/>
        <v>0</v>
      </c>
      <c r="J82" s="316">
        <f t="shared" si="125"/>
        <v>0</v>
      </c>
      <c r="K82" s="316">
        <f t="shared" si="125"/>
        <v>0</v>
      </c>
      <c r="L82" s="23"/>
      <c r="M82" s="23"/>
      <c r="N82" s="23"/>
      <c r="O82" s="89"/>
      <c r="P82" s="89"/>
      <c r="Q82" s="161"/>
      <c r="R82" s="36" t="s">
        <v>9</v>
      </c>
      <c r="S82" s="37">
        <f t="shared" ref="S82:X82" si="126">SUM(S96:S98)</f>
        <v>0</v>
      </c>
      <c r="T82" s="37">
        <f t="shared" si="126"/>
        <v>0</v>
      </c>
      <c r="U82" s="37">
        <f t="shared" si="126"/>
        <v>0</v>
      </c>
      <c r="V82" s="37">
        <f t="shared" si="126"/>
        <v>0</v>
      </c>
      <c r="W82" s="37">
        <f t="shared" si="126"/>
        <v>0</v>
      </c>
      <c r="X82" s="37">
        <f t="shared" si="126"/>
        <v>0</v>
      </c>
      <c r="Y82" s="37">
        <f t="shared" ref="Y82:AB82" si="127">SUM(Y96:Y98)</f>
        <v>0</v>
      </c>
      <c r="Z82" s="37">
        <f t="shared" si="127"/>
        <v>0</v>
      </c>
      <c r="AA82" s="37">
        <f t="shared" si="127"/>
        <v>0</v>
      </c>
      <c r="AB82" s="37">
        <f t="shared" si="127"/>
        <v>0</v>
      </c>
    </row>
    <row r="83" spans="1:28" ht="15" thickBot="1" x14ac:dyDescent="0.4">
      <c r="A83" s="141"/>
      <c r="B83" s="63"/>
      <c r="C83" s="63"/>
      <c r="D83" s="63"/>
      <c r="E83" s="63"/>
      <c r="F83" s="63"/>
      <c r="G83" s="23"/>
      <c r="H83" s="23"/>
      <c r="I83" s="23"/>
      <c r="J83" s="23"/>
      <c r="K83" s="23"/>
      <c r="L83" s="23"/>
      <c r="M83" s="23"/>
      <c r="N83" s="23"/>
      <c r="O83" s="89"/>
      <c r="P83" s="89"/>
      <c r="Q83" s="161"/>
      <c r="R83" s="38" t="s">
        <v>31</v>
      </c>
      <c r="S83" s="39">
        <f t="shared" ref="S83:X83" si="128">SUM(S80:S82)</f>
        <v>0</v>
      </c>
      <c r="T83" s="39">
        <f t="shared" si="128"/>
        <v>0</v>
      </c>
      <c r="U83" s="39">
        <f t="shared" si="128"/>
        <v>0</v>
      </c>
      <c r="V83" s="39">
        <f t="shared" si="128"/>
        <v>0</v>
      </c>
      <c r="W83" s="39">
        <f t="shared" si="128"/>
        <v>0</v>
      </c>
      <c r="X83" s="39">
        <f t="shared" si="128"/>
        <v>0</v>
      </c>
      <c r="Y83" s="39">
        <f t="shared" ref="Y83" si="129">SUM(Y80:Y82)</f>
        <v>0</v>
      </c>
      <c r="Z83" s="39">
        <f t="shared" ref="Z83" si="130">SUM(Z80:Z82)</f>
        <v>0</v>
      </c>
      <c r="AA83" s="39">
        <f t="shared" ref="AA83" si="131">SUM(AA80:AA82)</f>
        <v>0</v>
      </c>
      <c r="AB83" s="39">
        <f t="shared" ref="AB83" si="132">SUM(AB80:AB82)</f>
        <v>0</v>
      </c>
    </row>
    <row r="84" spans="1:28" x14ac:dyDescent="0.35">
      <c r="A84" s="140" t="s">
        <v>73</v>
      </c>
      <c r="B84" s="24" t="s">
        <v>1</v>
      </c>
      <c r="C84" s="24" t="s">
        <v>2</v>
      </c>
      <c r="D84" s="24" t="s">
        <v>3</v>
      </c>
      <c r="E84" s="24" t="s">
        <v>39</v>
      </c>
      <c r="F84" s="24" t="s">
        <v>45</v>
      </c>
      <c r="G84" s="24" t="s">
        <v>185</v>
      </c>
      <c r="H84" s="24" t="s">
        <v>186</v>
      </c>
      <c r="I84" s="24" t="s">
        <v>187</v>
      </c>
      <c r="J84" s="24" t="s">
        <v>188</v>
      </c>
      <c r="K84" s="24" t="s">
        <v>189</v>
      </c>
      <c r="Q84" s="143"/>
      <c r="S84" s="116"/>
      <c r="Y84" s="23"/>
    </row>
    <row r="85" spans="1:28" x14ac:dyDescent="0.35">
      <c r="A85" s="141" t="s">
        <v>69</v>
      </c>
      <c r="B85" s="313">
        <f>Minimum_Undergraduate_rate</f>
        <v>14.2</v>
      </c>
      <c r="C85" s="313">
        <f>+B85</f>
        <v>14.2</v>
      </c>
      <c r="D85" s="313">
        <f t="shared" ref="D85:G85" si="133">+C85</f>
        <v>14.2</v>
      </c>
      <c r="E85" s="313">
        <f t="shared" si="133"/>
        <v>14.2</v>
      </c>
      <c r="F85" s="313">
        <f t="shared" si="133"/>
        <v>14.2</v>
      </c>
      <c r="G85" s="313">
        <f t="shared" si="133"/>
        <v>14.2</v>
      </c>
      <c r="H85" s="313">
        <f t="shared" ref="H85" si="134">+G85</f>
        <v>14.2</v>
      </c>
      <c r="I85" s="313">
        <f t="shared" ref="I85" si="135">+H85</f>
        <v>14.2</v>
      </c>
      <c r="J85" s="313">
        <f t="shared" ref="J85" si="136">+I85</f>
        <v>14.2</v>
      </c>
      <c r="K85" s="313">
        <f t="shared" ref="K85" si="137">+J85</f>
        <v>14.2</v>
      </c>
      <c r="Q85" s="143"/>
      <c r="Y85" s="23"/>
    </row>
    <row r="86" spans="1:28" x14ac:dyDescent="0.35">
      <c r="A86" s="141" t="s">
        <v>60</v>
      </c>
      <c r="B86" s="317">
        <v>0</v>
      </c>
      <c r="C86" s="317">
        <v>0</v>
      </c>
      <c r="D86" s="317">
        <v>0</v>
      </c>
      <c r="E86" s="317">
        <v>0</v>
      </c>
      <c r="F86" s="317">
        <v>0</v>
      </c>
      <c r="G86" s="317">
        <v>0</v>
      </c>
      <c r="H86" s="317">
        <v>0</v>
      </c>
      <c r="I86" s="317">
        <v>0</v>
      </c>
      <c r="J86" s="317">
        <v>0</v>
      </c>
      <c r="K86" s="317">
        <v>0</v>
      </c>
      <c r="Q86" s="143"/>
      <c r="R86" s="117"/>
      <c r="S86" s="53" t="str">
        <f>CONCATENATE("FY",$AD$3)</f>
        <v>FY2024</v>
      </c>
      <c r="T86" s="53" t="str">
        <f>CONCATENATE("FY",$AD$3+1)</f>
        <v>FY2025</v>
      </c>
      <c r="U86" s="53" t="str">
        <f>CONCATENATE("FY",$AD$3+2)</f>
        <v>FY2026</v>
      </c>
      <c r="V86" s="53" t="str">
        <f>CONCATENATE("FY",$AD$3+3)</f>
        <v>FY2027</v>
      </c>
      <c r="W86" s="53" t="str">
        <f>CONCATENATE("FY",$AD$3+4)</f>
        <v>FY2028</v>
      </c>
      <c r="X86" s="53" t="str">
        <f>CONCATENATE("FY",$AD$3+5)</f>
        <v>FY2029</v>
      </c>
      <c r="Y86" s="53" t="str">
        <f>CONCATENATE("FY",$AD$3+6)</f>
        <v>FY2030</v>
      </c>
      <c r="Z86" s="53" t="str">
        <f>CONCATENATE("FY",$AD$3+7)</f>
        <v>FY2031</v>
      </c>
      <c r="AA86" s="53" t="str">
        <f>CONCATENATE("FY",$AD$3+8)</f>
        <v>FY2032</v>
      </c>
      <c r="AB86" s="53" t="str">
        <f>CONCATENATE("FY",$AD$3+9)</f>
        <v>FY2033</v>
      </c>
    </row>
    <row r="87" spans="1:28" x14ac:dyDescent="0.35">
      <c r="A87" s="141" t="s">
        <v>61</v>
      </c>
      <c r="B87" s="317">
        <v>0</v>
      </c>
      <c r="C87" s="317">
        <v>0</v>
      </c>
      <c r="D87" s="317">
        <v>0</v>
      </c>
      <c r="E87" s="317">
        <v>0</v>
      </c>
      <c r="F87" s="317">
        <v>0</v>
      </c>
      <c r="G87" s="317">
        <v>0</v>
      </c>
      <c r="H87" s="317">
        <v>0</v>
      </c>
      <c r="I87" s="317">
        <v>0</v>
      </c>
      <c r="J87" s="317">
        <v>0</v>
      </c>
      <c r="K87" s="317">
        <v>0</v>
      </c>
      <c r="Q87" s="143"/>
      <c r="R87" s="118"/>
      <c r="S87" s="53" t="str">
        <f>IF(OR($AD$2&gt;=7,$AD$2&lt;=2),CONCATENATE("FY",$AD$3),IF(AND($AD$2&gt;=3,$AD$2&lt;=6),CONCATENATE("FY",$AD$3+1),"N/A"))</f>
        <v>FY2024</v>
      </c>
      <c r="T87" s="53" t="str">
        <f>IF(OR($AD$2&gt;=7,$AD$2&lt;=2),CONCATENATE("FY",$AD$3+1),IF(AND($AD$2&gt;=3,$AD$2&lt;=6),CONCATENATE("FY",$AD$3+2),"N/A"))</f>
        <v>FY2025</v>
      </c>
      <c r="U87" s="53" t="str">
        <f>IF(OR($AD$2&gt;=7,$AD$2&lt;=2),CONCATENATE("FY",$AD$3+2),IF(AND($AD$2&gt;=3,$AD$2&lt;=6),CONCATENATE("FY",$AD$3+3),"N/A"))</f>
        <v>FY2026</v>
      </c>
      <c r="V87" s="53" t="str">
        <f>IF(OR($AD$2&gt;=7,$AD$2&lt;=2),CONCATENATE("FY",$AD$3+3),IF(AND($AD$2&gt;=3,$AD$2&lt;=6),CONCATENATE("FY",$AD$3+4),"N/A"))</f>
        <v>FY2027</v>
      </c>
      <c r="W87" s="53" t="str">
        <f>IF(OR($AD$2&gt;=7,$AD$2&lt;=2),CONCATENATE("FY",$AD$3+4),IF(AND($AD$2&gt;=3,$AD$2&lt;=6),CONCATENATE("FY",$AD$3+5),"N/A"))</f>
        <v>FY2028</v>
      </c>
      <c r="X87" s="53" t="str">
        <f>IF(OR($AD$2&gt;=7,$AD$2&lt;=2),CONCATENATE("FY",$AD$3+5),IF(AND($AD$2&gt;=3,$AD$2&lt;=6),CONCATENATE("FY",$AD$3+6),"N/A"))</f>
        <v>FY2029</v>
      </c>
      <c r="Y87" s="53" t="str">
        <f>IF(OR($AD$2&gt;=7,$AD$2&lt;=2),CONCATENATE("FY",$AD$3+6),IF(AND($AD$2&gt;=3,$AD$2&lt;=6),CONCATENATE("FY",$AD$3+7),"N/A"))</f>
        <v>FY2030</v>
      </c>
      <c r="Z87" s="53" t="str">
        <f>IF(OR($AD$2&gt;=7,$AD$2&lt;=2),CONCATENATE("FY",$AD$3+7),IF(AND($AD$2&gt;=3,$AD$2&lt;=6),CONCATENATE("FY",$AD$3+8),"N/A"))</f>
        <v>FY2031</v>
      </c>
      <c r="AA87" s="53" t="str">
        <f>IF(OR($AD$2&gt;=7,$AD$2&lt;=2),CONCATENATE("FY",$AD$3+8),IF(AND($AD$2&gt;=3,$AD$2&lt;=6),CONCATENATE("FY",$AD$3+9),"N/A"))</f>
        <v>FY2032</v>
      </c>
      <c r="AB87" s="53" t="str">
        <f>IF(OR($AD$2&gt;=7,$AD$2&lt;=2),CONCATENATE("FY",$AD$3+9),IF(AND($AD$2&gt;=3,$AD$2&lt;=6),CONCATENATE("FY",$AD$3+10),"N/A"))</f>
        <v>FY2033</v>
      </c>
    </row>
    <row r="88" spans="1:28" x14ac:dyDescent="0.35">
      <c r="A88" s="141" t="s">
        <v>66</v>
      </c>
      <c r="B88" s="54">
        <f>ROUND(B85*(B86*B87),0)</f>
        <v>0</v>
      </c>
      <c r="C88" s="54">
        <f t="shared" ref="C88:F88" si="138">ROUND(C85*(C86*C87),0)</f>
        <v>0</v>
      </c>
      <c r="D88" s="54">
        <f t="shared" si="138"/>
        <v>0</v>
      </c>
      <c r="E88" s="54">
        <f t="shared" si="138"/>
        <v>0</v>
      </c>
      <c r="F88" s="54">
        <f t="shared" si="138"/>
        <v>0</v>
      </c>
      <c r="G88" s="54">
        <f t="shared" ref="G88:K88" si="139">ROUND(G85*(G86*G87),0)</f>
        <v>0</v>
      </c>
      <c r="H88" s="54">
        <f t="shared" si="139"/>
        <v>0</v>
      </c>
      <c r="I88" s="54">
        <f t="shared" si="139"/>
        <v>0</v>
      </c>
      <c r="J88" s="54">
        <f t="shared" si="139"/>
        <v>0</v>
      </c>
      <c r="K88" s="54">
        <f t="shared" si="139"/>
        <v>0</v>
      </c>
      <c r="Q88" s="143"/>
      <c r="R88" s="53"/>
      <c r="S88" s="53" t="str">
        <f>IF(AND($AD$2&gt;=1,$AD$2&lt;=6),CONCATENATE("FY",$AD$3+1),IF(AND($AD$2&gt;=7,$AD$2&lt;=9),CONCATENATE("FY",$AD$3),IF(AND($AD$2&gt;=10,$AD$2&lt;=126),CONCATENATE("FY",$AD$3+1),"N/A")))</f>
        <v>FY2024</v>
      </c>
      <c r="T88" s="53" t="str">
        <f>IF(AND($AD$2&gt;=1,$AD$2&lt;=6),CONCATENATE("FY",$AD$3+2),IF(AND($AD$2&gt;=7,$AD$2&lt;=9),CONCATENATE("FY",$AD$3+1),IF(AND($AD$2&gt;=10,$AD$2&lt;=126),CONCATENATE("FY",$AD$3+2),"N/A")))</f>
        <v>FY2025</v>
      </c>
      <c r="U88" s="53" t="str">
        <f>IF(AND($AD$2&gt;=1,$AD$2&lt;=6),CONCATENATE("FY",$AD$3+3),IF(AND($AD$2&gt;=7,$AD$2&lt;=9),CONCATENATE("FY",$AD$3+2),IF(AND($AD$2&gt;=10,$AD$2&lt;=126),CONCATENATE("FY",$AD$3+3),"N/A")))</f>
        <v>FY2026</v>
      </c>
      <c r="V88" s="53" t="str">
        <f>IF(AND($AD$2&gt;=1,$AD$2&lt;=6),CONCATENATE("FY",$AD$3+4),IF(AND($AD$2&gt;=7,$AD$2&lt;=9),CONCATENATE("FY",$AD$3+3),IF(AND($AD$2&gt;=10,$AD$2&lt;=126),CONCATENATE("FY",$AD$3+4),"N/A")))</f>
        <v>FY2027</v>
      </c>
      <c r="W88" s="53" t="str">
        <f>IF(AND($AD$2&gt;=1,$AD$2&lt;=6),CONCATENATE("FY",$AD$3+5),IF(AND($AD$2&gt;=7,$AD$2&lt;=9),CONCATENATE("FY",$AD$3+4),IF(AND($AD$2&gt;=10,$AD$2&lt;=126),CONCATENATE("FY",$AD$3+5),"N/A")))</f>
        <v>FY2028</v>
      </c>
      <c r="X88" s="53" t="str">
        <f>IF(AND($AD$2&gt;=1,$AD$2&lt;=6),CONCATENATE("FY",$AD$3+6),IF(AND($AD$2&gt;=7,$AD$2&lt;=9),CONCATENATE("FY",$AD$3+5),IF(AND($AD$2&gt;=10,$AD$2&lt;=126),CONCATENATE("FY",$AD$3+6),"N/A")))</f>
        <v>FY2029</v>
      </c>
      <c r="Y88" s="53" t="str">
        <f>IF(AND($AD$2&gt;=1,$AD$2&lt;=6),CONCATENATE("FY",$AD$3+6),IF(AND($AD$2&gt;=7,$AD$2&lt;=9),CONCATENATE("FY",$AD$3+6),IF(AND($AD$2&gt;=10,$AD$2&lt;=126),CONCATENATE("FY",$AD$3+7),"N/A")))</f>
        <v>FY2030</v>
      </c>
      <c r="Z88" s="53" t="str">
        <f>IF(AND($AD$2&gt;=1,$AD$2&lt;=6),CONCATENATE("FY",$AD$3+6),IF(AND($AD$2&gt;=7,$AD$2&lt;=9),CONCATENATE("FY",$AD$3+7),IF(AND($AD$2&gt;=10,$AD$2&lt;=126),CONCATENATE("FY",$AD$3+8),"N/A")))</f>
        <v>FY2031</v>
      </c>
      <c r="AA88" s="53" t="str">
        <f>IF(AND($AD$2&gt;=1,$AD$2&lt;=6),CONCATENATE("FY",$AD$3+6),IF(AND($AD$2&gt;=7,$AD$2&lt;=9),CONCATENATE("FY",$AD$3+8),IF(AND($AD$2&gt;=10,$AD$2&lt;=126),CONCATENATE("FY",$AD$3+9),"N/A")))</f>
        <v>FY2032</v>
      </c>
      <c r="AB88" s="53" t="str">
        <f>IF(AND($AD$2&gt;=1,$AD$2&lt;=6),CONCATENATE("FY",$AD$3+6),IF(AND($AD$2&gt;=7,$AD$2&lt;=9),CONCATENATE("FY",$AD$3+9),IF(AND($AD$2&gt;=10,$AD$2&lt;=126),CONCATENATE("FY",$AD$3+10),"N/A")))</f>
        <v>FY2033</v>
      </c>
    </row>
    <row r="89" spans="1:28" ht="15" thickBot="1" x14ac:dyDescent="0.4">
      <c r="A89" s="141" t="s">
        <v>58</v>
      </c>
      <c r="B89" s="317">
        <v>0</v>
      </c>
      <c r="C89" s="317">
        <v>0</v>
      </c>
      <c r="D89" s="317">
        <v>0</v>
      </c>
      <c r="E89" s="317">
        <v>0</v>
      </c>
      <c r="F89" s="317">
        <v>0</v>
      </c>
      <c r="G89" s="317">
        <v>0</v>
      </c>
      <c r="H89" s="317">
        <v>0</v>
      </c>
      <c r="I89" s="317">
        <v>0</v>
      </c>
      <c r="J89" s="317">
        <v>0</v>
      </c>
      <c r="K89" s="317">
        <v>0</v>
      </c>
      <c r="Q89" s="143"/>
      <c r="R89" s="427" t="s">
        <v>106</v>
      </c>
      <c r="S89" s="50" t="s">
        <v>1</v>
      </c>
      <c r="T89" s="51" t="s">
        <v>2</v>
      </c>
      <c r="U89" s="51" t="s">
        <v>3</v>
      </c>
      <c r="V89" s="51" t="s">
        <v>39</v>
      </c>
      <c r="W89" s="51" t="s">
        <v>45</v>
      </c>
      <c r="X89" s="51" t="s">
        <v>185</v>
      </c>
      <c r="Y89" s="51" t="s">
        <v>186</v>
      </c>
      <c r="Z89" s="51" t="s">
        <v>187</v>
      </c>
      <c r="AA89" s="51" t="s">
        <v>188</v>
      </c>
      <c r="AB89" s="51" t="s">
        <v>189</v>
      </c>
    </row>
    <row r="90" spans="1:28" x14ac:dyDescent="0.35">
      <c r="A90" s="141" t="s">
        <v>59</v>
      </c>
      <c r="B90" s="317">
        <v>0</v>
      </c>
      <c r="C90" s="317">
        <v>0</v>
      </c>
      <c r="D90" s="317">
        <v>0</v>
      </c>
      <c r="E90" s="317">
        <v>0</v>
      </c>
      <c r="F90" s="317">
        <v>0</v>
      </c>
      <c r="G90" s="317">
        <v>0</v>
      </c>
      <c r="H90" s="317">
        <v>0</v>
      </c>
      <c r="I90" s="317">
        <v>0</v>
      </c>
      <c r="J90" s="317">
        <v>0</v>
      </c>
      <c r="K90" s="317">
        <v>0</v>
      </c>
      <c r="Q90" s="143"/>
      <c r="R90" s="119" t="str">
        <f>CONCATENATE("Stipend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Stipend (Fall)</v>
      </c>
      <c r="S90" s="120">
        <f t="shared" ref="S90:AB90" si="140">IF(RIGHT($R90,8)="(Summer)",ROUND(S74*HLOOKUP(S86,PI_GRARateTbl,3,FALSE),0))+IF(RIGHT($R90,8)&lt;&gt;"(Summer)",ROUND(S74*HLOOKUP(S86,PI_GRARateTbl,2,FALSE)/2,0))</f>
        <v>0</v>
      </c>
      <c r="T90" s="120">
        <f t="shared" si="140"/>
        <v>0</v>
      </c>
      <c r="U90" s="120">
        <f t="shared" si="140"/>
        <v>0</v>
      </c>
      <c r="V90" s="120">
        <f t="shared" si="140"/>
        <v>0</v>
      </c>
      <c r="W90" s="120">
        <f t="shared" si="140"/>
        <v>0</v>
      </c>
      <c r="X90" s="120">
        <f t="shared" si="140"/>
        <v>0</v>
      </c>
      <c r="Y90" s="120">
        <f t="shared" si="140"/>
        <v>0</v>
      </c>
      <c r="Z90" s="120">
        <f t="shared" si="140"/>
        <v>0</v>
      </c>
      <c r="AA90" s="120">
        <f t="shared" si="140"/>
        <v>0</v>
      </c>
      <c r="AB90" s="120">
        <f t="shared" si="140"/>
        <v>0</v>
      </c>
    </row>
    <row r="91" spans="1:28" x14ac:dyDescent="0.35">
      <c r="A91" s="141" t="s">
        <v>67</v>
      </c>
      <c r="B91" s="54">
        <f t="shared" ref="B91:G91" si="141">ROUND(B85*(B89*B90),0)</f>
        <v>0</v>
      </c>
      <c r="C91" s="54">
        <f t="shared" si="141"/>
        <v>0</v>
      </c>
      <c r="D91" s="54">
        <f t="shared" si="141"/>
        <v>0</v>
      </c>
      <c r="E91" s="54">
        <f t="shared" si="141"/>
        <v>0</v>
      </c>
      <c r="F91" s="54">
        <f t="shared" si="141"/>
        <v>0</v>
      </c>
      <c r="G91" s="54">
        <f t="shared" si="141"/>
        <v>0</v>
      </c>
      <c r="H91" s="54">
        <f t="shared" ref="H91" si="142">ROUND(H85*(H89*H90),0)</f>
        <v>0</v>
      </c>
      <c r="I91" s="54">
        <f t="shared" ref="I91" si="143">ROUND(I85*(I89*I90),0)</f>
        <v>0</v>
      </c>
      <c r="J91" s="54">
        <f t="shared" ref="J91" si="144">ROUND(J85*(J89*J90),0)</f>
        <v>0</v>
      </c>
      <c r="K91" s="54">
        <f t="shared" ref="K91" si="145">ROUND(K85*(K89*K90),0)</f>
        <v>0</v>
      </c>
      <c r="Q91" s="143"/>
      <c r="R91" s="121" t="str">
        <f>CONCATENATE("Stipend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Stipend (Spring)</v>
      </c>
      <c r="S91" s="120">
        <f t="shared" ref="S91:AB91" si="146">IF(RIGHT($R91,8)="(Summer)",ROUND(S75*HLOOKUP(S87,PI_GRARateTbl,3,FALSE),0))+IF(RIGHT($R91,8)&lt;&gt;"(Summer)",ROUND(S75*HLOOKUP(S87,PI_GRARateTbl,2,FALSE)/2,0))</f>
        <v>0</v>
      </c>
      <c r="T91" s="120">
        <f t="shared" si="146"/>
        <v>0</v>
      </c>
      <c r="U91" s="120">
        <f t="shared" si="146"/>
        <v>0</v>
      </c>
      <c r="V91" s="120">
        <f t="shared" si="146"/>
        <v>0</v>
      </c>
      <c r="W91" s="120">
        <f t="shared" si="146"/>
        <v>0</v>
      </c>
      <c r="X91" s="120">
        <f t="shared" si="146"/>
        <v>0</v>
      </c>
      <c r="Y91" s="120">
        <f t="shared" si="146"/>
        <v>0</v>
      </c>
      <c r="Z91" s="120">
        <f t="shared" si="146"/>
        <v>0</v>
      </c>
      <c r="AA91" s="120">
        <f t="shared" si="146"/>
        <v>0</v>
      </c>
      <c r="AB91" s="120">
        <f t="shared" si="146"/>
        <v>0</v>
      </c>
    </row>
    <row r="92" spans="1:28" x14ac:dyDescent="0.35">
      <c r="A92" s="141" t="s">
        <v>21</v>
      </c>
      <c r="B92" s="110">
        <f t="shared" ref="B92:G92" si="147">+B88+B91</f>
        <v>0</v>
      </c>
      <c r="C92" s="110">
        <f t="shared" si="147"/>
        <v>0</v>
      </c>
      <c r="D92" s="110">
        <f t="shared" si="147"/>
        <v>0</v>
      </c>
      <c r="E92" s="110">
        <f t="shared" si="147"/>
        <v>0</v>
      </c>
      <c r="F92" s="110">
        <f t="shared" si="147"/>
        <v>0</v>
      </c>
      <c r="G92" s="110">
        <f t="shared" si="147"/>
        <v>0</v>
      </c>
      <c r="H92" s="110">
        <f t="shared" ref="H92" si="148">+H88+H91</f>
        <v>0</v>
      </c>
      <c r="I92" s="110">
        <f t="shared" ref="I92" si="149">+I88+I91</f>
        <v>0</v>
      </c>
      <c r="J92" s="110">
        <f t="shared" ref="J92" si="150">+J88+J91</f>
        <v>0</v>
      </c>
      <c r="K92" s="110">
        <f t="shared" ref="K92" si="151">+K88+K91</f>
        <v>0</v>
      </c>
      <c r="Q92" s="143"/>
      <c r="R92" s="121" t="str">
        <f>CONCATENATE("Stipend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Stipend (Summer)</v>
      </c>
      <c r="S92" s="120">
        <f t="shared" ref="S92:AB92" si="152">IF(RIGHT($R92,8)="(Summer)",ROUND(S76*HLOOKUP(S88,PI_GRARateTbl,3,FALSE),0))+IF(RIGHT($R92,8)&lt;&gt;"(Summer)",ROUND(S76*HLOOKUP(S88,PI_GRARateTbl,2,FALSE)/2,0))</f>
        <v>0</v>
      </c>
      <c r="T92" s="120">
        <f t="shared" si="152"/>
        <v>0</v>
      </c>
      <c r="U92" s="120">
        <f t="shared" si="152"/>
        <v>0</v>
      </c>
      <c r="V92" s="120">
        <f t="shared" si="152"/>
        <v>0</v>
      </c>
      <c r="W92" s="120">
        <f t="shared" si="152"/>
        <v>0</v>
      </c>
      <c r="X92" s="120">
        <f t="shared" si="152"/>
        <v>0</v>
      </c>
      <c r="Y92" s="120">
        <f t="shared" si="152"/>
        <v>0</v>
      </c>
      <c r="Z92" s="120">
        <f t="shared" si="152"/>
        <v>0</v>
      </c>
      <c r="AA92" s="120">
        <f t="shared" si="152"/>
        <v>0</v>
      </c>
      <c r="AB92" s="120">
        <f t="shared" si="152"/>
        <v>0</v>
      </c>
    </row>
    <row r="93" spans="1:28" x14ac:dyDescent="0.35">
      <c r="A93" s="143"/>
      <c r="I93" s="23"/>
      <c r="J93" s="23"/>
      <c r="K93" s="23"/>
      <c r="L93" s="23"/>
      <c r="M93" s="23"/>
      <c r="N93" s="23"/>
      <c r="Q93" s="143"/>
      <c r="R93" s="121" t="str">
        <f>CONCATENATE("Tuition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Tuition (Fall)</v>
      </c>
      <c r="S93" s="120">
        <f t="shared" ref="S93:AB93" si="153">IF(RIGHT($R93,8)="(Summer)",0,ROUND(S74*HLOOKUP(S86,PI_GRARateTbl,5,FALSE)/2,0))</f>
        <v>0</v>
      </c>
      <c r="T93" s="120">
        <f t="shared" si="153"/>
        <v>0</v>
      </c>
      <c r="U93" s="120">
        <f t="shared" si="153"/>
        <v>0</v>
      </c>
      <c r="V93" s="120">
        <f t="shared" si="153"/>
        <v>0</v>
      </c>
      <c r="W93" s="120">
        <f t="shared" si="153"/>
        <v>0</v>
      </c>
      <c r="X93" s="120">
        <f t="shared" si="153"/>
        <v>0</v>
      </c>
      <c r="Y93" s="120">
        <f t="shared" si="153"/>
        <v>0</v>
      </c>
      <c r="Z93" s="120">
        <f t="shared" si="153"/>
        <v>0</v>
      </c>
      <c r="AA93" s="120">
        <f t="shared" si="153"/>
        <v>0</v>
      </c>
      <c r="AB93" s="120">
        <f t="shared" si="153"/>
        <v>0</v>
      </c>
    </row>
    <row r="94" spans="1:28" x14ac:dyDescent="0.35">
      <c r="A94" s="144" t="s">
        <v>88</v>
      </c>
      <c r="B94" s="104" t="str">
        <f t="shared" ref="B94:L94" si="154">IF(AND(B95=$AE$5,$O96=9),$AE$3,IF(AND(B95=$AF$5,$O96=9),$AF$3,IF(AND(B95=$AG$5,$O96=9),$AG$3,IF(AND(B95=$AH$5,$O96=9),$AH$3,IF(AND(B95=$AI$5,$O96=9),$AI$3,IF(AND(B95=$AJ$5,$O96=9),$AJ$3,IF(AND(B95=$AK$5,$O96=9),$AK$3,IF(AND(B95=$AL$5,$O96=9),$AL$3,IF(AND(B95=$AM$5,$O96=9),$AM$3,IF(AND(B95=$AN$5,$O96=9),$AN$3,IF(AND(B95=$AO$5,$O96=9),$AO$3,IF(AND(B95=$AP$5,$O96=9),$AJ$3,IF(AND(B95=$AE$4,$O96=12),$AE$3,IF(AND(B95=$AF$4,$O96=12),$AF$3,IF(AND(B95=$AG$4,$O96=12),$AG$3,IF(AND(B95=$AH$4,$O96=12),$AH$3,IF(AND(B95=$AI$4,$O96=12),$AI$3,IF(AND(B95=$AJ$4,$O96=12),$AJ$3,IF(AND(B95=$AK$4,$O96=12),$AK$3,IF(AND(B95=$AL$4,$O96=12),$AL$3,IF(AND(B95=$AM$4,$O96=12),$AM$3,IF(AND(B95=$AN$4,$O96=12),$AN$3,IF(AND(B95=$AO$4,$O96=12),$AO$3,IF(AND(B95=$AP$4,$O96=12),$AJ$3," "))))))))))))))))))))))))</f>
        <v xml:space="preserve"> </v>
      </c>
      <c r="C94" s="104" t="str">
        <f t="shared" si="154"/>
        <v>Year 1</v>
      </c>
      <c r="D94" s="104" t="str">
        <f t="shared" si="154"/>
        <v>Year 2</v>
      </c>
      <c r="E94" s="104" t="str">
        <f t="shared" si="154"/>
        <v>Year 3</v>
      </c>
      <c r="F94" s="104" t="str">
        <f t="shared" si="154"/>
        <v>Year 4</v>
      </c>
      <c r="G94" s="104" t="str">
        <f t="shared" si="154"/>
        <v>Year 5</v>
      </c>
      <c r="H94" s="104" t="str">
        <f t="shared" si="154"/>
        <v>Year 6</v>
      </c>
      <c r="I94" s="104" t="str">
        <f t="shared" si="154"/>
        <v>Year 7</v>
      </c>
      <c r="J94" s="104" t="str">
        <f t="shared" si="154"/>
        <v>Year 8</v>
      </c>
      <c r="K94" s="104" t="str">
        <f t="shared" si="154"/>
        <v>Year 9</v>
      </c>
      <c r="L94" s="104" t="str">
        <f t="shared" si="154"/>
        <v>Year 10</v>
      </c>
      <c r="M94" s="104" t="str">
        <f t="shared" ref="M94" si="155">IF(AND(M95=$AE$5,$O96=9),$AE$3,IF(AND(M95=$AF$5,$O96=9),$AF$3,IF(AND(M95=$AG$5,$O96=9),$AG$3,IF(AND(M95=$AH$5,$O96=9),$AH$3,IF(AND(M95=$AI$5,$O96=9),$AI$3,IF(AND(M95=$AJ$5,$O96=9),$AJ$3,IF(AND(M95=$AK$5,$O96=9),$AK$3,IF(AND(M95=$AL$5,$O96=9),$AL$3,IF(AND(M95=$AM$5,$O96=9),$AM$3,IF(AND(M95=$AN$5,$O96=9),$AN$3,IF(AND(M95=$AO$5,$O96=9),$AO$3,IF(AND(M95=$AP$5,$O96=9),$AJ$3,IF(AND(M95=$AE$4,$O96=12),$AE$3,IF(AND(M95=$AF$4,$O96=12),$AF$3,IF(AND(M95=$AG$4,$O96=12),$AG$3,IF(AND(M95=$AH$4,$O96=12),$AH$3,IF(AND(M95=$AI$4,$O96=12),$AI$3,IF(AND(M95=$AJ$4,$O96=12),$AJ$3,IF(AND(M95=$AK$4,$O96=12),$AK$3,IF(AND(M95=$AL$4,$O96=12),$AL$3,IF(AND(M95=$AM$4,$O96=12),$AM$3,IF(AND(M95=$AN$4,$O96=12),$AN$3,IF(AND(M95=$AO$4,$O96=12),$AO$3,IF(AND(M95=$AP$4,$O96=12),$AJ$3," "))))))))))))))))))))))))</f>
        <v>Year 11</v>
      </c>
      <c r="N94" s="104"/>
      <c r="Q94" s="143"/>
      <c r="R94" s="121" t="str">
        <f>CONCATENATE("Tuition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Tuition (Spring)</v>
      </c>
      <c r="S94" s="120">
        <f t="shared" ref="S94:AB94" si="156">IF(RIGHT($R94,8)="(Summer)",0,ROUND(S75*HLOOKUP(S87,PI_GRARateTbl,5,FALSE)/2,0))</f>
        <v>0</v>
      </c>
      <c r="T94" s="120">
        <f t="shared" si="156"/>
        <v>0</v>
      </c>
      <c r="U94" s="120">
        <f t="shared" si="156"/>
        <v>0</v>
      </c>
      <c r="V94" s="120">
        <f t="shared" si="156"/>
        <v>0</v>
      </c>
      <c r="W94" s="120">
        <f t="shared" si="156"/>
        <v>0</v>
      </c>
      <c r="X94" s="120">
        <f t="shared" si="156"/>
        <v>0</v>
      </c>
      <c r="Y94" s="120">
        <f t="shared" si="156"/>
        <v>0</v>
      </c>
      <c r="Z94" s="120">
        <f t="shared" si="156"/>
        <v>0</v>
      </c>
      <c r="AA94" s="120">
        <f t="shared" si="156"/>
        <v>0</v>
      </c>
      <c r="AB94" s="120">
        <f t="shared" si="156"/>
        <v>0</v>
      </c>
    </row>
    <row r="95" spans="1:28" x14ac:dyDescent="0.35">
      <c r="A95" s="321" t="s">
        <v>29</v>
      </c>
      <c r="B95" s="55" t="str">
        <f t="shared" ref="B95:I95" si="157">+N$2</f>
        <v>FY2023</v>
      </c>
      <c r="C95" s="55" t="str">
        <f t="shared" si="157"/>
        <v>FY2024</v>
      </c>
      <c r="D95" s="55" t="str">
        <f t="shared" si="157"/>
        <v>FY2025</v>
      </c>
      <c r="E95" s="55" t="str">
        <f t="shared" si="157"/>
        <v>FY2026</v>
      </c>
      <c r="F95" s="55" t="str">
        <f t="shared" si="157"/>
        <v>FY2027</v>
      </c>
      <c r="G95" s="55" t="str">
        <f t="shared" si="157"/>
        <v>FY2028</v>
      </c>
      <c r="H95" s="55" t="str">
        <f t="shared" si="157"/>
        <v>FY2029</v>
      </c>
      <c r="I95" s="55" t="str">
        <f t="shared" si="157"/>
        <v>FY2030</v>
      </c>
      <c r="J95" s="55" t="str">
        <f t="shared" ref="J95" si="158">+V$2</f>
        <v>FY2031</v>
      </c>
      <c r="K95" s="55" t="str">
        <f t="shared" ref="K95:M95" si="159">+W$2</f>
        <v>FY2032</v>
      </c>
      <c r="L95" s="55" t="str">
        <f t="shared" si="159"/>
        <v>FY2033</v>
      </c>
      <c r="M95" s="55" t="str">
        <f t="shared" si="159"/>
        <v>FY2034</v>
      </c>
      <c r="N95" s="55"/>
      <c r="O95" s="32" t="s">
        <v>20</v>
      </c>
      <c r="P95" s="89" t="s">
        <v>64</v>
      </c>
      <c r="Q95" s="161"/>
      <c r="R95" s="121" t="str">
        <f>CONCATENATE("Tuition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Tuition (Summer)</v>
      </c>
      <c r="S95" s="120">
        <f t="shared" ref="S95:AB95" si="160">IF(RIGHT($R95,8)="(Summer)",0,ROUND(S76*HLOOKUP(S88,PI_GRARateTbl,5,FALSE)/2,0))</f>
        <v>0</v>
      </c>
      <c r="T95" s="120">
        <f t="shared" si="160"/>
        <v>0</v>
      </c>
      <c r="U95" s="120">
        <f t="shared" si="160"/>
        <v>0</v>
      </c>
      <c r="V95" s="120">
        <f t="shared" si="160"/>
        <v>0</v>
      </c>
      <c r="W95" s="120">
        <f t="shared" si="160"/>
        <v>0</v>
      </c>
      <c r="X95" s="120">
        <f t="shared" si="160"/>
        <v>0</v>
      </c>
      <c r="Y95" s="120">
        <f t="shared" si="160"/>
        <v>0</v>
      </c>
      <c r="Z95" s="120">
        <f t="shared" si="160"/>
        <v>0</v>
      </c>
      <c r="AA95" s="120">
        <f t="shared" si="160"/>
        <v>0</v>
      </c>
      <c r="AB95" s="120">
        <f t="shared" si="160"/>
        <v>0</v>
      </c>
    </row>
    <row r="96" spans="1:28" x14ac:dyDescent="0.35">
      <c r="A96" s="141" t="str">
        <f>CONCATENATE("Base Salary: ",O96," month term")</f>
        <v>Base Salary: 12 month term</v>
      </c>
      <c r="B96" s="314">
        <v>0</v>
      </c>
      <c r="C96" s="318">
        <f>B96</f>
        <v>0</v>
      </c>
      <c r="D96" s="318">
        <f t="shared" ref="D96:M96" si="161">ROUND(+C96*(1+$P$96),0)</f>
        <v>0</v>
      </c>
      <c r="E96" s="318">
        <f t="shared" si="161"/>
        <v>0</v>
      </c>
      <c r="F96" s="318">
        <f t="shared" si="161"/>
        <v>0</v>
      </c>
      <c r="G96" s="318">
        <f t="shared" si="161"/>
        <v>0</v>
      </c>
      <c r="H96" s="318">
        <f t="shared" si="161"/>
        <v>0</v>
      </c>
      <c r="I96" s="318">
        <f t="shared" si="161"/>
        <v>0</v>
      </c>
      <c r="J96" s="318">
        <f t="shared" si="161"/>
        <v>0</v>
      </c>
      <c r="K96" s="318">
        <f t="shared" si="161"/>
        <v>0</v>
      </c>
      <c r="L96" s="318">
        <f t="shared" si="161"/>
        <v>0</v>
      </c>
      <c r="M96" s="318">
        <f t="shared" si="161"/>
        <v>0</v>
      </c>
      <c r="N96" s="386"/>
      <c r="O96" s="311">
        <v>12</v>
      </c>
      <c r="P96" s="312">
        <v>0.03</v>
      </c>
      <c r="Q96" s="163"/>
      <c r="R96" s="121" t="str">
        <f>CONCATENATE("Health Insurance ",IF(AND(AD2&gt;=7,AD2&lt;=9),CONCATENATE("(Fall)"),IF(AND(AD2&gt;=7,AD2&lt;=10),CONCATENATE("(Spring)"),IF(OR(AD2&gt;=10,AD2&lt;=2),CONCATENATE("(Spring)"),IF(AND(AD2&gt;=7,AD2&lt;=10),CONCATENATE("(Summer)"),IF(OR(AD2&gt;=10,AD2&lt;=2),CONCATENATE("(Summer)"),IF(AND(AD2&gt;=3,AD2&lt;=6),CONCATENATE("(Summer)"),"N/A")))))))</f>
        <v>Health Insurance (Fall)</v>
      </c>
      <c r="S96" s="120">
        <f t="shared" ref="S96:AB96" si="162">IF(RIGHT($R96,8)="(Summer)",0,ROUND(S74*HLOOKUP(S86,PI_GRARateTbl,6,FALSE)/2,0))</f>
        <v>0</v>
      </c>
      <c r="T96" s="120">
        <f t="shared" si="162"/>
        <v>0</v>
      </c>
      <c r="U96" s="120">
        <f t="shared" si="162"/>
        <v>0</v>
      </c>
      <c r="V96" s="120">
        <f t="shared" si="162"/>
        <v>0</v>
      </c>
      <c r="W96" s="120">
        <f t="shared" si="162"/>
        <v>0</v>
      </c>
      <c r="X96" s="120">
        <f t="shared" si="162"/>
        <v>0</v>
      </c>
      <c r="Y96" s="120">
        <f t="shared" si="162"/>
        <v>0</v>
      </c>
      <c r="Z96" s="120">
        <f t="shared" si="162"/>
        <v>0</v>
      </c>
      <c r="AA96" s="120">
        <f t="shared" si="162"/>
        <v>0</v>
      </c>
      <c r="AB96" s="120">
        <f t="shared" si="162"/>
        <v>0</v>
      </c>
    </row>
    <row r="97" spans="1:28" x14ac:dyDescent="0.35">
      <c r="A97" s="141" t="s">
        <v>44</v>
      </c>
      <c r="B97" s="313">
        <v>0</v>
      </c>
      <c r="C97" s="313">
        <v>0</v>
      </c>
      <c r="D97" s="313">
        <v>0</v>
      </c>
      <c r="E97" s="313">
        <v>0</v>
      </c>
      <c r="F97" s="313">
        <v>0</v>
      </c>
      <c r="G97" s="313">
        <v>0</v>
      </c>
      <c r="H97" s="313">
        <v>0</v>
      </c>
      <c r="I97" s="313">
        <v>0</v>
      </c>
      <c r="J97" s="313">
        <v>0</v>
      </c>
      <c r="K97" s="313">
        <v>0</v>
      </c>
      <c r="L97" s="313">
        <v>0</v>
      </c>
      <c r="M97" s="313">
        <v>0</v>
      </c>
      <c r="N97" s="402"/>
      <c r="O97" s="25"/>
      <c r="P97" s="25"/>
      <c r="Q97" s="141"/>
      <c r="R97" s="121" t="str">
        <f>CONCATENATE("Health Insurance ",IF(AND(AD2&gt;=7,AD2&lt;=9),CONCATENATE("(Spring)"),IF(AND(AD2&gt;=7,AD2&lt;=10),CONCATENATE("(Summer)"),IF(OR(AD2&gt;=10,AD2&lt;=2),CONCATENATE("(Summer)"),IF(AND(AD2&gt;=7,AD2&lt;=10),CONCATENATE("(Fall)"),IF(OR(AD2&gt;=10,AD2&lt;=2),CONCATENATE("(Fall) "),IF(AND(AD2&gt;=3,AD2&lt;=6),CONCATENATE("(Fall)"),"N/A")))))))</f>
        <v>Health Insurance (Spring)</v>
      </c>
      <c r="S97" s="120">
        <f t="shared" ref="S97:AB97" si="163">IF(RIGHT($R97,8)="(Summer)",0,ROUND(S75*HLOOKUP(S87,PI_GRARateTbl,6,FALSE)/2,0))</f>
        <v>0</v>
      </c>
      <c r="T97" s="120">
        <f t="shared" si="163"/>
        <v>0</v>
      </c>
      <c r="U97" s="120">
        <f t="shared" si="163"/>
        <v>0</v>
      </c>
      <c r="V97" s="120">
        <f t="shared" si="163"/>
        <v>0</v>
      </c>
      <c r="W97" s="120">
        <f t="shared" si="163"/>
        <v>0</v>
      </c>
      <c r="X97" s="120">
        <f t="shared" si="163"/>
        <v>0</v>
      </c>
      <c r="Y97" s="120">
        <f t="shared" si="163"/>
        <v>0</v>
      </c>
      <c r="Z97" s="120">
        <f t="shared" si="163"/>
        <v>0</v>
      </c>
      <c r="AA97" s="120">
        <f t="shared" si="163"/>
        <v>0</v>
      </c>
      <c r="AB97" s="120">
        <f t="shared" si="163"/>
        <v>0</v>
      </c>
    </row>
    <row r="98" spans="1:28" x14ac:dyDescent="0.35">
      <c r="A98" s="141" t="str">
        <f>CONCATENATE("FTE for ",O96," Months")</f>
        <v>FTE for 12 Months</v>
      </c>
      <c r="B98" s="395">
        <f t="shared" ref="B98:L98" si="164">+B97/$O96</f>
        <v>0</v>
      </c>
      <c r="C98" s="395">
        <f t="shared" si="164"/>
        <v>0</v>
      </c>
      <c r="D98" s="395">
        <f t="shared" si="164"/>
        <v>0</v>
      </c>
      <c r="E98" s="395">
        <f t="shared" si="164"/>
        <v>0</v>
      </c>
      <c r="F98" s="395">
        <f t="shared" si="164"/>
        <v>0</v>
      </c>
      <c r="G98" s="395">
        <f t="shared" si="164"/>
        <v>0</v>
      </c>
      <c r="H98" s="395">
        <f t="shared" si="164"/>
        <v>0</v>
      </c>
      <c r="I98" s="395">
        <f t="shared" si="164"/>
        <v>0</v>
      </c>
      <c r="J98" s="395">
        <f t="shared" si="164"/>
        <v>0</v>
      </c>
      <c r="K98" s="395">
        <f t="shared" si="164"/>
        <v>0</v>
      </c>
      <c r="L98" s="395">
        <f t="shared" si="164"/>
        <v>0</v>
      </c>
      <c r="M98" s="395">
        <f t="shared" ref="M98" si="165">+M97/$O96</f>
        <v>0</v>
      </c>
      <c r="N98" s="403"/>
      <c r="O98" s="89"/>
      <c r="P98" s="89"/>
      <c r="Q98" s="161"/>
      <c r="R98" s="121" t="str">
        <f>CONCATENATE("Health Insurance ",IF(AND(AD2&gt;=7,AD2&lt;=9),CONCATENATE("(Summer)"),IF(AND(AD2&gt;=7,AD2&lt;=10),CONCATENATE("(Fall)"),IF(OR(AD2&gt;=10,AD2&lt;=2),CONCATENATE("(Fall)"),IF(AND(AD2&gt;=7,AD2&lt;=10),CONCATENATE("(Spring)"),IF(OR(AD2&gt;=10,AD2&lt;=2),CONCATENATE("(Spring)"),IF(AND(AD2&gt;=3,AD2&lt;=6),CONCATENATE("(Spring)"),"N/A")))))))</f>
        <v>Health Insurance (Summer)</v>
      </c>
      <c r="S98" s="120">
        <f t="shared" ref="S98:AB98" si="166">IF(RIGHT($R98,8)="(Summer)",0,ROUND(S76*HLOOKUP(S88,PI_GRARateTbl,6,FALSE)/2,0))</f>
        <v>0</v>
      </c>
      <c r="T98" s="120">
        <f t="shared" si="166"/>
        <v>0</v>
      </c>
      <c r="U98" s="120">
        <f t="shared" si="166"/>
        <v>0</v>
      </c>
      <c r="V98" s="120">
        <f t="shared" si="166"/>
        <v>0</v>
      </c>
      <c r="W98" s="120">
        <f t="shared" si="166"/>
        <v>0</v>
      </c>
      <c r="X98" s="120">
        <f t="shared" si="166"/>
        <v>0</v>
      </c>
      <c r="Y98" s="120">
        <f t="shared" si="166"/>
        <v>0</v>
      </c>
      <c r="Z98" s="120">
        <f t="shared" si="166"/>
        <v>0</v>
      </c>
      <c r="AA98" s="120">
        <f t="shared" si="166"/>
        <v>0</v>
      </c>
      <c r="AB98" s="120">
        <f t="shared" si="166"/>
        <v>0</v>
      </c>
    </row>
    <row r="99" spans="1:28" ht="15" thickBot="1" x14ac:dyDescent="0.4">
      <c r="A99" s="141" t="s">
        <v>21</v>
      </c>
      <c r="B99" s="110">
        <f t="shared" ref="B99:K99" si="167">ROUND((B96*B98*$Q$35)+(C96*B98*$Q$36),0)</f>
        <v>0</v>
      </c>
      <c r="C99" s="110">
        <f t="shared" si="167"/>
        <v>0</v>
      </c>
      <c r="D99" s="110">
        <f t="shared" si="167"/>
        <v>0</v>
      </c>
      <c r="E99" s="110">
        <f t="shared" si="167"/>
        <v>0</v>
      </c>
      <c r="F99" s="110">
        <f t="shared" si="167"/>
        <v>0</v>
      </c>
      <c r="G99" s="110">
        <f t="shared" si="167"/>
        <v>0</v>
      </c>
      <c r="H99" s="110">
        <f t="shared" si="167"/>
        <v>0</v>
      </c>
      <c r="I99" s="110">
        <f t="shared" si="167"/>
        <v>0</v>
      </c>
      <c r="J99" s="110">
        <f t="shared" si="167"/>
        <v>0</v>
      </c>
      <c r="K99" s="110">
        <f t="shared" si="167"/>
        <v>0</v>
      </c>
      <c r="L99" s="110">
        <f>ROUND((L96*L98*$Q$35)+(N96*L98*$Q$36),0)</f>
        <v>0</v>
      </c>
      <c r="M99" s="110">
        <f>ROUND((M96*M98*$Q$35)+(O96*M98*$Q$36),0)</f>
        <v>0</v>
      </c>
      <c r="N99" s="404"/>
      <c r="O99" s="89"/>
      <c r="P99" s="89"/>
      <c r="Q99" s="161"/>
      <c r="R99" s="38" t="s">
        <v>31</v>
      </c>
      <c r="S99" s="39">
        <f t="shared" ref="S99:X99" si="168">SUM(S90:S98)</f>
        <v>0</v>
      </c>
      <c r="T99" s="39">
        <f t="shared" si="168"/>
        <v>0</v>
      </c>
      <c r="U99" s="39">
        <f t="shared" si="168"/>
        <v>0</v>
      </c>
      <c r="V99" s="39">
        <f t="shared" si="168"/>
        <v>0</v>
      </c>
      <c r="W99" s="39">
        <f t="shared" si="168"/>
        <v>0</v>
      </c>
      <c r="X99" s="39">
        <f t="shared" si="168"/>
        <v>0</v>
      </c>
      <c r="Y99" s="39">
        <f t="shared" ref="Y99" si="169">SUM(Y90:Y98)</f>
        <v>0</v>
      </c>
      <c r="Z99" s="39">
        <f t="shared" ref="Z99" si="170">SUM(Z90:Z98)</f>
        <v>0</v>
      </c>
      <c r="AA99" s="39">
        <f t="shared" ref="AA99" si="171">SUM(AA90:AA98)</f>
        <v>0</v>
      </c>
      <c r="AB99" s="39">
        <f t="shared" ref="AB99" si="172">SUM(AB90:AB98)</f>
        <v>0</v>
      </c>
    </row>
    <row r="101" spans="1:28" x14ac:dyDescent="0.35">
      <c r="C101" s="116"/>
      <c r="S101" s="408"/>
      <c r="T101" s="408"/>
    </row>
    <row r="102" spans="1:28" x14ac:dyDescent="0.35">
      <c r="A102" s="188" t="str">
        <f ca="1">+A15</f>
        <v>Co-PI Budget (1)</v>
      </c>
      <c r="C102" s="116"/>
    </row>
    <row r="103" spans="1:28" x14ac:dyDescent="0.35">
      <c r="A103" s="136" t="s">
        <v>50</v>
      </c>
      <c r="B103" s="208" t="str">
        <f>+B15</f>
        <v>Co-PI</v>
      </c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</row>
    <row r="104" spans="1:28" x14ac:dyDescent="0.35">
      <c r="A104" s="136" t="s">
        <v>53</v>
      </c>
      <c r="B104" s="322" t="s">
        <v>57</v>
      </c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</row>
    <row r="105" spans="1:28" x14ac:dyDescent="0.35">
      <c r="A105" s="136" t="s">
        <v>53</v>
      </c>
      <c r="B105" s="322" t="s">
        <v>57</v>
      </c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</row>
    <row r="106" spans="1:28" x14ac:dyDescent="0.35">
      <c r="A106" s="136" t="s">
        <v>113</v>
      </c>
      <c r="B106" s="323" t="s">
        <v>95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</row>
    <row r="107" spans="1:28" x14ac:dyDescent="0.35">
      <c r="A107" s="136" t="s">
        <v>134</v>
      </c>
      <c r="B107" s="323" t="s">
        <v>132</v>
      </c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</row>
    <row r="108" spans="1:28" x14ac:dyDescent="0.35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</row>
    <row r="109" spans="1:28" x14ac:dyDescent="0.35">
      <c r="A109" s="136" t="s">
        <v>97</v>
      </c>
      <c r="B109" s="324" t="s">
        <v>95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</row>
    <row r="110" spans="1:28" x14ac:dyDescent="0.35">
      <c r="A110" s="136" t="s">
        <v>98</v>
      </c>
      <c r="B110" s="324" t="s">
        <v>95</v>
      </c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</row>
    <row r="111" spans="1:28" x14ac:dyDescent="0.35">
      <c r="A111" s="149"/>
      <c r="B111" s="151"/>
      <c r="C111" s="149"/>
      <c r="D111" s="149"/>
      <c r="E111" s="149"/>
      <c r="F111" s="149"/>
      <c r="G111" s="149"/>
      <c r="H111" s="149"/>
      <c r="I111" s="152"/>
      <c r="J111" s="152"/>
      <c r="K111" s="152"/>
      <c r="L111" s="152"/>
      <c r="M111" s="152"/>
      <c r="N111" s="152"/>
      <c r="O111" s="152"/>
      <c r="Q111" s="102"/>
    </row>
    <row r="112" spans="1:28" x14ac:dyDescent="0.35">
      <c r="A112" s="136" t="s">
        <v>100</v>
      </c>
      <c r="B112" s="153" t="str">
        <f>+$B$31</f>
        <v>FY2024</v>
      </c>
      <c r="C112" s="153" t="str">
        <f>+$C$31</f>
        <v>FY2025</v>
      </c>
      <c r="D112" s="153" t="str">
        <f>+$D$31</f>
        <v>FY2026</v>
      </c>
      <c r="E112" s="153" t="str">
        <f>+$E$31</f>
        <v>FY2027</v>
      </c>
      <c r="F112" s="153" t="str">
        <f>+$F$31</f>
        <v>FY2028</v>
      </c>
      <c r="G112" s="153" t="str">
        <f>+$G$31</f>
        <v>FY2029</v>
      </c>
      <c r="H112" s="153" t="str">
        <f>+$H$31</f>
        <v>FY2030</v>
      </c>
      <c r="I112" s="153" t="str">
        <f>CONCATENATE("FY",$AD$3+7)</f>
        <v>FY2031</v>
      </c>
      <c r="J112" s="153" t="str">
        <f>CONCATENATE("FY",$AD$3+8)</f>
        <v>FY2032</v>
      </c>
      <c r="K112" s="153" t="str">
        <f>CONCATENATE("FY",$AD$3+9)</f>
        <v>FY2033</v>
      </c>
      <c r="L112" s="153" t="str">
        <f>CONCATENATE("FY",$AD$3+10)</f>
        <v>FY2034</v>
      </c>
      <c r="M112" s="153" t="str">
        <f>CONCATENATE("FY",$AD$3+11)</f>
        <v>FY2035</v>
      </c>
      <c r="N112" s="152"/>
      <c r="O112" s="152"/>
      <c r="Q112" s="102"/>
    </row>
    <row r="113" spans="1:17" x14ac:dyDescent="0.35">
      <c r="A113" s="136" t="str">
        <f>IF(AND(B106="Contract College",B$6="Federal"),"   Contract (Federal) - Senior Personnel",IF(AND(B106="Contract College",B$6="Non-federal"),"   Contract (Non-federal) - Senior Personnel","   Endowed - Senior Personnel"))</f>
        <v xml:space="preserve">   Endowed - Senior Personnel</v>
      </c>
      <c r="B113" s="397">
        <f t="shared" ref="B113:M113" si="173">IF(AND($B106="Contract College",$B$6="Federal"),HLOOKUP(B112,FringeAndIDCRates,2,FALSE),IF(AND($B106="Contract College",$B$6="Non-Federal"),HLOOKUP(B112,FringeAndIDCRates,3,FALSE),HLOOKUP(B112,FringeAndIDCRates,4,FALSE)))</f>
        <v>0.37</v>
      </c>
      <c r="C113" s="397">
        <f t="shared" si="173"/>
        <v>0.37</v>
      </c>
      <c r="D113" s="397">
        <f t="shared" si="173"/>
        <v>0.37</v>
      </c>
      <c r="E113" s="397">
        <f t="shared" si="173"/>
        <v>0.37</v>
      </c>
      <c r="F113" s="397">
        <f t="shared" si="173"/>
        <v>0.37</v>
      </c>
      <c r="G113" s="397">
        <f t="shared" si="173"/>
        <v>0.37</v>
      </c>
      <c r="H113" s="397">
        <f t="shared" si="173"/>
        <v>0.37</v>
      </c>
      <c r="I113" s="397">
        <f t="shared" si="173"/>
        <v>0.37</v>
      </c>
      <c r="J113" s="397">
        <f t="shared" si="173"/>
        <v>0.37</v>
      </c>
      <c r="K113" s="397">
        <f t="shared" si="173"/>
        <v>0.37</v>
      </c>
      <c r="L113" s="397">
        <f t="shared" si="173"/>
        <v>0.37</v>
      </c>
      <c r="M113" s="397">
        <f t="shared" si="173"/>
        <v>0.37</v>
      </c>
      <c r="N113" s="152"/>
      <c r="O113" s="152"/>
      <c r="Q113" s="102"/>
    </row>
    <row r="114" spans="1:17" x14ac:dyDescent="0.35">
      <c r="A114" s="136" t="str">
        <f>IF(AND(B$6="Federal",B109="Contract College"),"   Contract (Federal) - Post Doc",IF(AND(B$6="Non-federal",B109="Contract College"),"   Contract (Non-federal) - Post Doc","   Endowed - Post Doc"))</f>
        <v xml:space="preserve">   Endowed - Post Doc</v>
      </c>
      <c r="B114" s="397">
        <f t="shared" ref="B114:M114" si="174">IF($B109="Endowed College",HLOOKUP(B$31,FringeAndIDCRates,4,FALSE),IF($B$6="Federal",HLOOKUP(B$31,FringeAndIDCRates,2,FALSE),IF($B$6="Non-Federal",HLOOKUP(B$31,FringeAndIDCRates,3,FALSE))))</f>
        <v>0.37</v>
      </c>
      <c r="C114" s="397">
        <f t="shared" si="174"/>
        <v>0.37</v>
      </c>
      <c r="D114" s="397">
        <f t="shared" si="174"/>
        <v>0.37</v>
      </c>
      <c r="E114" s="397">
        <f t="shared" si="174"/>
        <v>0.37</v>
      </c>
      <c r="F114" s="397">
        <f t="shared" si="174"/>
        <v>0.37</v>
      </c>
      <c r="G114" s="397">
        <f t="shared" si="174"/>
        <v>0.37</v>
      </c>
      <c r="H114" s="397">
        <f t="shared" si="174"/>
        <v>0.37</v>
      </c>
      <c r="I114" s="397">
        <f t="shared" si="174"/>
        <v>0.37</v>
      </c>
      <c r="J114" s="397">
        <f t="shared" si="174"/>
        <v>0.37</v>
      </c>
      <c r="K114" s="397">
        <f t="shared" si="174"/>
        <v>0.37</v>
      </c>
      <c r="L114" s="397">
        <f t="shared" si="174"/>
        <v>0.37</v>
      </c>
      <c r="M114" s="397">
        <f t="shared" si="174"/>
        <v>0.37</v>
      </c>
      <c r="N114" s="152"/>
      <c r="O114" s="152"/>
      <c r="Q114" s="102"/>
    </row>
    <row r="115" spans="1:17" x14ac:dyDescent="0.35">
      <c r="A115" s="136" t="str">
        <f>IF(AND(B$6="Federal",B110="Contract College"),"   Contract (Federal) - Other Employee",IF(AND(B$6="Non-federal",B110="Contract College"),"   Contract (Non-federal) - Other Empolyee","   Endowed - Other Employee"))</f>
        <v xml:space="preserve">   Endowed - Other Employee</v>
      </c>
      <c r="B115" s="397">
        <f t="shared" ref="B115:M115" si="175">IF($B110="Endowed College",HLOOKUP(B$31,FringeAndIDCRates,4,FALSE),IF($B$6="Federal",HLOOKUP(B$31,FringeAndIDCRates,2,FALSE),IF($B$6="Non-Federal",HLOOKUP(B$31,FringeAndIDCRates,3,FALSE))))</f>
        <v>0.37</v>
      </c>
      <c r="C115" s="397">
        <f t="shared" si="175"/>
        <v>0.37</v>
      </c>
      <c r="D115" s="397">
        <f t="shared" si="175"/>
        <v>0.37</v>
      </c>
      <c r="E115" s="397">
        <f t="shared" si="175"/>
        <v>0.37</v>
      </c>
      <c r="F115" s="397">
        <f t="shared" si="175"/>
        <v>0.37</v>
      </c>
      <c r="G115" s="397">
        <f t="shared" si="175"/>
        <v>0.37</v>
      </c>
      <c r="H115" s="397">
        <f t="shared" si="175"/>
        <v>0.37</v>
      </c>
      <c r="I115" s="397">
        <f t="shared" si="175"/>
        <v>0.37</v>
      </c>
      <c r="J115" s="397">
        <f t="shared" si="175"/>
        <v>0.37</v>
      </c>
      <c r="K115" s="397">
        <f t="shared" si="175"/>
        <v>0.37</v>
      </c>
      <c r="L115" s="397">
        <f t="shared" si="175"/>
        <v>0.37</v>
      </c>
      <c r="M115" s="397">
        <f t="shared" si="175"/>
        <v>0.37</v>
      </c>
      <c r="N115" s="152"/>
      <c r="O115" s="152"/>
      <c r="Q115" s="102"/>
    </row>
    <row r="116" spans="1:17" x14ac:dyDescent="0.35">
      <c r="A116" s="136" t="str">
        <f>CONCATENATE("Cornell IDC Rate - ",B106)</f>
        <v>Cornell IDC Rate - Endowed College</v>
      </c>
      <c r="B116" s="397">
        <f t="shared" ref="B116:M116" si="176">IF($B107="Off",(HLOOKUP(B$31,FringeAndIDCRates,8,FALSE)),IF(AND($B$7="Other",$B107="On"),(HLOOKUP(B$31,FringeAndIDCRates,7,FALSE)),IF(AND($B107="On",$B106="Contract College",$B$7="Research"),(HLOOKUP(B$31,FringeAndIDCRates,5,FALSE)),(HLOOKUP(B$31,FringeAndIDCRates,6,FALSE)))))</f>
        <v>0.64</v>
      </c>
      <c r="C116" s="397">
        <f t="shared" si="176"/>
        <v>0.64</v>
      </c>
      <c r="D116" s="397">
        <f t="shared" si="176"/>
        <v>0.64</v>
      </c>
      <c r="E116" s="397">
        <f t="shared" si="176"/>
        <v>0.64</v>
      </c>
      <c r="F116" s="397">
        <f t="shared" si="176"/>
        <v>0.64</v>
      </c>
      <c r="G116" s="397">
        <f t="shared" si="176"/>
        <v>0.64</v>
      </c>
      <c r="H116" s="397">
        <f t="shared" si="176"/>
        <v>0.64</v>
      </c>
      <c r="I116" s="397">
        <f t="shared" si="176"/>
        <v>0.64</v>
      </c>
      <c r="J116" s="397">
        <f t="shared" si="176"/>
        <v>0.64</v>
      </c>
      <c r="K116" s="397">
        <f t="shared" si="176"/>
        <v>0.64</v>
      </c>
      <c r="L116" s="397">
        <f t="shared" si="176"/>
        <v>0.64</v>
      </c>
      <c r="M116" s="397">
        <f t="shared" si="176"/>
        <v>0.64</v>
      </c>
      <c r="N116" s="152"/>
      <c r="O116" s="152"/>
      <c r="Q116" s="102"/>
    </row>
    <row r="117" spans="1:17" x14ac:dyDescent="0.35">
      <c r="A117" s="136" t="str">
        <f>IF($B$8="Yes","","Rate Allowed by Sponsor:")</f>
        <v/>
      </c>
      <c r="B117" s="153" t="str">
        <f t="shared" ref="B117:M117" si="177">IF($B$8="Yes","",IF($B$8="No",HLOOKUP(B$31,FringeAndIDCRates,9,FALSE),(HLOOKUP(B$31,FringeAndIDCRates,9,FALSE))))</f>
        <v/>
      </c>
      <c r="C117" s="153" t="str">
        <f t="shared" si="177"/>
        <v/>
      </c>
      <c r="D117" s="153" t="str">
        <f t="shared" si="177"/>
        <v/>
      </c>
      <c r="E117" s="153" t="str">
        <f t="shared" si="177"/>
        <v/>
      </c>
      <c r="F117" s="153" t="str">
        <f t="shared" si="177"/>
        <v/>
      </c>
      <c r="G117" s="153" t="str">
        <f t="shared" si="177"/>
        <v/>
      </c>
      <c r="H117" s="153" t="str">
        <f t="shared" si="177"/>
        <v/>
      </c>
      <c r="I117" s="153" t="str">
        <f t="shared" si="177"/>
        <v/>
      </c>
      <c r="J117" s="153" t="str">
        <f t="shared" si="177"/>
        <v/>
      </c>
      <c r="K117" s="153" t="str">
        <f t="shared" si="177"/>
        <v/>
      </c>
      <c r="L117" s="153" t="str">
        <f t="shared" si="177"/>
        <v/>
      </c>
      <c r="M117" s="153" t="str">
        <f t="shared" si="177"/>
        <v/>
      </c>
      <c r="N117" s="240"/>
      <c r="O117" s="240"/>
      <c r="Q117" s="102"/>
    </row>
    <row r="118" spans="1:17" x14ac:dyDescent="0.35">
      <c r="B118" s="53"/>
      <c r="C118" s="53"/>
      <c r="D118" s="53"/>
      <c r="E118" s="53"/>
      <c r="F118" s="53"/>
      <c r="G118" s="53"/>
      <c r="H118" s="53"/>
    </row>
    <row r="119" spans="1:17" ht="20" x14ac:dyDescent="0.4">
      <c r="A119" s="40" t="s">
        <v>55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</row>
    <row r="120" spans="1:17" ht="15.5" x14ac:dyDescent="0.35">
      <c r="A120" s="105" t="s">
        <v>87</v>
      </c>
      <c r="B120" s="106" t="str">
        <f>IF(B123=$AE$5,$AE$8,IF(B123=$AF$5,$AF$8,IF(B123=$AG$5,$AG$8,IF(B123=$AH$5,$AH$8,IF(B123=$AI$5,$AI$8,IF(B123=$AJ$5,$AJ$8,IF(B123=$AK$5,$AK$8,IF(B123=$AL$5,$AL$8,IF(B123=$AM$5,$AM$8,IF(B123=$AN$5,$AN$8,IF(B123=$AO$5,$AO$8,IF(B123=$AP$5,$AP$8," "))))))))))))</f>
        <v xml:space="preserve"> </v>
      </c>
      <c r="C120" s="106" t="str">
        <f t="shared" ref="C120:M120" si="178">IF(C123=$AE$5,$AE$8,IF(C123=$AF$5,$AF$8,IF(C123=$AG$5,$AG$8,IF(C123=$AH$5,$AH$8,IF(C123=$AI$5,$AI$8,IF(C123=$AJ$5,$AJ$8,IF(C123=$AK$5,$AK$8,IF(C123=$AL$5,$AL$8,IF(C123=$AM$5,$AM$8,IF(C123=$AN$5,$AN$8,IF(C123=$AO$5,$AO$8,IF(C123=$AP$5,$AP$8," "))))))))))))</f>
        <v>2023-2024</v>
      </c>
      <c r="D120" s="106" t="str">
        <f t="shared" si="178"/>
        <v>2024-2025</v>
      </c>
      <c r="E120" s="106" t="str">
        <f t="shared" si="178"/>
        <v>2025-2026</v>
      </c>
      <c r="F120" s="106" t="str">
        <f t="shared" si="178"/>
        <v>2026-2027</v>
      </c>
      <c r="G120" s="106" t="str">
        <f t="shared" si="178"/>
        <v>2027-2028</v>
      </c>
      <c r="H120" s="106" t="str">
        <f t="shared" si="178"/>
        <v>2028-2029</v>
      </c>
      <c r="I120" s="106" t="str">
        <f t="shared" si="178"/>
        <v>2029-2030</v>
      </c>
      <c r="J120" s="106" t="str">
        <f t="shared" si="178"/>
        <v>2030-2031</v>
      </c>
      <c r="K120" s="106" t="str">
        <f t="shared" si="178"/>
        <v>2031-2032</v>
      </c>
      <c r="L120" s="106" t="str">
        <f t="shared" si="178"/>
        <v>2032-2033</v>
      </c>
      <c r="M120" s="106" t="str">
        <f t="shared" si="178"/>
        <v>2033-2034</v>
      </c>
      <c r="N120" s="106" t="str">
        <f t="shared" ref="N120" si="179">IF(N123=$AE$5,$AE$8,IF(N123=$AF$5,$AF$8,IF(N123=$AG$5,$AG$8,IF(N123=$AH$5,$AH$8,IF(N123=$AI$5,$AI$8,IF(N123=$AJ$5,$AJ$8,IF(N123=$AK$5,$AK$8,IF(N123=$AL$5,$AL$8,IF(N123=$AM$5,$AM$8,IF(N123=$AN$5,$AN$8,IF(N123=$AO$5,$AO$8,IF(N123=$AP$5,$AP$8," "))))))))))))</f>
        <v>2034-2035</v>
      </c>
    </row>
    <row r="122" spans="1:17" x14ac:dyDescent="0.35">
      <c r="A122" s="145" t="str">
        <f>CONCATENATE("Calculation based on ",O124," month salary")</f>
        <v>Calculation based on 9 month salary</v>
      </c>
      <c r="B122" s="104" t="str">
        <f t="shared" ref="B122:L122" si="180">IF(AND(B123=$AE$5,$O124=9),$AE$3,IF(AND(B123=$AF$5,$O124=9),$AF$3,IF(AND(B123=$AG$5,$O124=9),$AG$3,IF(AND(B123=$AH$5,$O124=9),$AH$3,IF(AND(B123=$AI$5,$O124=9),$AI$3,IF(AND(B123=$AJ$5,$O124=9),$AJ$3,IF(AND(B123=$AK$5,$O124=9),$AK$3,IF(AND(B123=$AL$5,$O124=9),$AL$3,IF(AND(B123=$AM$5,$O124=9),$AM$3,IF(AND(B123=$AN$5,$O124=9),$AN$3,IF(AND(B123=$AO$5,$O124=9),$AO$3,IF(AND(B123=$AP$5,$O124=9),$AJ$3,IF(AND(B123=$AE$4,$O124=12),$AE$3,IF(AND(B123=$AF$4,$O124=12),$AF$3,IF(AND(B123=$AG$4,$O124=12),$AG$3,IF(AND(B123=$AH$4,$O124=12),$AH$3,IF(AND(B123=$AI$4,$O124=12),$AI$3,IF(AND(B123=$AJ$4,$O124=12),$AJ$3,IF(AND(B123=$AK$4,$O124=12),$AK$3,IF(AND(B123=$AL$4,$O124=12),$AL$3,IF(AND(B123=$AM$4,$O124=12),$AM$3,IF(AND(B123=$AN$4,$O124=12),$AN$3,IF(AND(B123=$AO$4,$O124=12),$AO$3,IF(AND(B123=$AP$4,$O124=12),$AJ$3," "))))))))))))))))))))))))</f>
        <v xml:space="preserve"> </v>
      </c>
      <c r="C122" s="104" t="str">
        <f t="shared" si="180"/>
        <v>Year 1</v>
      </c>
      <c r="D122" s="104" t="str">
        <f t="shared" si="180"/>
        <v>Year 2</v>
      </c>
      <c r="E122" s="104" t="str">
        <f t="shared" si="180"/>
        <v>Year 3</v>
      </c>
      <c r="F122" s="104" t="str">
        <f t="shared" si="180"/>
        <v>Year 4</v>
      </c>
      <c r="G122" s="104" t="str">
        <f t="shared" si="180"/>
        <v>Year 5</v>
      </c>
      <c r="H122" s="104" t="str">
        <f t="shared" si="180"/>
        <v>Year 6</v>
      </c>
      <c r="I122" s="104" t="str">
        <f t="shared" si="180"/>
        <v>Year 7</v>
      </c>
      <c r="J122" s="104" t="str">
        <f t="shared" si="180"/>
        <v>Year 8</v>
      </c>
      <c r="K122" s="104" t="str">
        <f t="shared" si="180"/>
        <v>Year 9</v>
      </c>
      <c r="L122" s="104" t="str">
        <f t="shared" si="180"/>
        <v>Year 10</v>
      </c>
      <c r="M122" s="104" t="str">
        <f>IF(AND(M123=$AE$5,$O124=9),$AE$3,IF(AND(M123=$AF$5,$O124=9),$AF$3,IF(AND(M123=$AG$5,$O124=9),$AG$3,IF(AND(M123=$AH$5,$O124=9),$AH$3,IF(AND(M123=$AI$5,$O124=9),$AI$3,IF(AND(M123=$AJ$5,$O124=9),$AJ$3,IF(AND(M123=$AK$5,$O124=9),$AK$3,IF(AND(M123=$AL$5,$O124=9),$AL$3,IF(AND(M123=$AM$5,$O124=9),$AM$3,IF(AND(M123=$AN$5,$O124=9),$AN$3,IF(AND(M123=$AO$5,$O124=9),$AO$3,IF(AND(M123=$AP$5,$O124=9),$AP$3,IF(AND(M123=$AQ$5,$O124=9),$AJ$3,IF(AND(M123=$AE$4,$O124=12),$AE$3,IF(AND(M123=$AF$4,$O124=12),$AF$3,IF(AND(M123=$AG$4,$O124=12),$AG$3,IF(AND(M123=$AH$4,$O124=12),$AH$3,IF(AND(M123=$AI$4,$O124=12),$AI$3,IF(AND(M123=$AJ$4,$O124=12),$AJ$3,IF(AND(M123=$AK$4,$O124=12),$AK$3,IF(AND(M123=$AL$4,$O124=12),$AL$3,IF(AND(M123=$AM$4,$O124=12),$AM$3,IF(AND(M123=$AN$4,$O124=12),$AN$3,IF(AND(M123=$AO$4,$O124=12),$AO$3,IF(AND(M123=$AP$4,$O124=12),$AP$3,IF(AND(M123=$AQ$4,$O124=12),$AJ$3," "))))))))))))))))))))))))))</f>
        <v>Year 11</v>
      </c>
      <c r="N122" s="104" t="str">
        <f>IF(AND(N123=$AE$5,$O124=9),$AE$3,IF(AND(N123=$AF$5,$O124=9),$AF$3,IF(AND(N123=$AG$5,$O124=9),$AG$3,IF(AND(N123=$AH$5,$O124=9),$AH$3,IF(AND(N123=$AI$5,$O124=9),$AI$3,IF(AND(N123=$AJ$5,$O124=9),$AJ$3,IF(AND(N123=$AK$5,$O124=9),$AK$3,IF(AND(N123=$AL$5,$O124=9),$AL$3,IF(AND(N123=$AM$5,$O124=9),$AM$3,IF(AND(N123=$AN$5,$O124=9),$AN$3,IF(AND(N123=$AO$5,$O124=9),$AO$3,IF(AND(N123=$AP$5,$O124=9),$AP$3,IF(AND(N123=$AQ$5,$O124=9),$AJ$3,IF(AND(N123=$AE$4,$O124=12),$AE$3,IF(AND(N123=$AF$4,$O124=12),$AF$3,IF(AND(N123=$AG$4,$O124=12),$AG$3,IF(AND(N123=$AH$4,$O124=12),$AH$3,IF(AND(N123=$AI$4,$O124=12),$AI$3,IF(AND(N123=$AJ$4,$O124=12),$AJ$3,IF(AND(N123=$AK$4,$O124=12),$AK$3,IF(AND(N123=$AL$4,$O124=12),$AL$3,IF(AND(N123=$AM$4,$O124=12),$AM$3,IF(AND(N123=$AN$4,$O124=12),$AN$3,IF(AND(N123=$AO$4,$O124=12),$AO$3,IF(AND(N123=$AP$4,$O124=12),$AP$3,IF(AND(N123=$AQ$4,$O124=12),$AJ$3," "))))))))))))))))))))))))))</f>
        <v>Year 12</v>
      </c>
    </row>
    <row r="123" spans="1:17" x14ac:dyDescent="0.35">
      <c r="A123" s="146" t="str">
        <f>+B103</f>
        <v>Co-PI</v>
      </c>
      <c r="B123" s="55" t="str">
        <f t="shared" ref="B123:I123" si="181">+N$2</f>
        <v>FY2023</v>
      </c>
      <c r="C123" s="55" t="str">
        <f t="shared" si="181"/>
        <v>FY2024</v>
      </c>
      <c r="D123" s="55" t="str">
        <f t="shared" si="181"/>
        <v>FY2025</v>
      </c>
      <c r="E123" s="55" t="str">
        <f t="shared" si="181"/>
        <v>FY2026</v>
      </c>
      <c r="F123" s="55" t="str">
        <f t="shared" si="181"/>
        <v>FY2027</v>
      </c>
      <c r="G123" s="55" t="str">
        <f t="shared" si="181"/>
        <v>FY2028</v>
      </c>
      <c r="H123" s="55" t="str">
        <f t="shared" si="181"/>
        <v>FY2029</v>
      </c>
      <c r="I123" s="55" t="str">
        <f t="shared" si="181"/>
        <v>FY2030</v>
      </c>
      <c r="J123" s="55" t="str">
        <f t="shared" ref="J123" si="182">+V$2</f>
        <v>FY2031</v>
      </c>
      <c r="K123" s="55" t="str">
        <f t="shared" ref="K123" si="183">+W$2</f>
        <v>FY2032</v>
      </c>
      <c r="L123" s="55" t="str">
        <f t="shared" ref="L123" si="184">+X$2</f>
        <v>FY2033</v>
      </c>
      <c r="M123" s="55" t="str">
        <f t="shared" ref="M123:N123" si="185">+Y$2</f>
        <v>FY2034</v>
      </c>
      <c r="N123" s="55" t="str">
        <f t="shared" si="185"/>
        <v>FY2035</v>
      </c>
      <c r="O123" s="32" t="s">
        <v>20</v>
      </c>
      <c r="P123" s="89" t="s">
        <v>64</v>
      </c>
      <c r="Q123" s="89"/>
    </row>
    <row r="124" spans="1:17" x14ac:dyDescent="0.35">
      <c r="A124" s="147" t="str">
        <f>CONCATENATE("Base Salary: ",O124," month term")</f>
        <v>Base Salary: 9 month term</v>
      </c>
      <c r="B124" s="385">
        <v>0</v>
      </c>
      <c r="C124" s="386">
        <f t="shared" ref="C124:N124" si="186">ROUND(+B124*(1+$P$124),0)</f>
        <v>0</v>
      </c>
      <c r="D124" s="386">
        <f t="shared" si="186"/>
        <v>0</v>
      </c>
      <c r="E124" s="386">
        <f t="shared" si="186"/>
        <v>0</v>
      </c>
      <c r="F124" s="386">
        <f t="shared" si="186"/>
        <v>0</v>
      </c>
      <c r="G124" s="386">
        <f t="shared" si="186"/>
        <v>0</v>
      </c>
      <c r="H124" s="386">
        <f t="shared" si="186"/>
        <v>0</v>
      </c>
      <c r="I124" s="386">
        <f t="shared" si="186"/>
        <v>0</v>
      </c>
      <c r="J124" s="386">
        <f t="shared" si="186"/>
        <v>0</v>
      </c>
      <c r="K124" s="386">
        <f t="shared" si="186"/>
        <v>0</v>
      </c>
      <c r="L124" s="386">
        <f t="shared" si="186"/>
        <v>0</v>
      </c>
      <c r="M124" s="386">
        <f t="shared" si="186"/>
        <v>0</v>
      </c>
      <c r="N124" s="386">
        <f t="shared" si="186"/>
        <v>0</v>
      </c>
      <c r="O124" s="311">
        <v>9</v>
      </c>
      <c r="P124" s="312">
        <v>0.03</v>
      </c>
      <c r="Q124" s="52"/>
    </row>
    <row r="125" spans="1:17" x14ac:dyDescent="0.35">
      <c r="A125" s="147" t="s">
        <v>44</v>
      </c>
      <c r="B125" s="313">
        <v>0</v>
      </c>
      <c r="C125" s="313">
        <v>0</v>
      </c>
      <c r="D125" s="313">
        <v>0</v>
      </c>
      <c r="E125" s="313">
        <v>0</v>
      </c>
      <c r="F125" s="313">
        <v>0</v>
      </c>
      <c r="G125" s="313">
        <v>0</v>
      </c>
      <c r="H125" s="313">
        <v>0</v>
      </c>
      <c r="I125" s="313">
        <v>0</v>
      </c>
      <c r="J125" s="313">
        <v>0</v>
      </c>
      <c r="K125" s="313">
        <v>0</v>
      </c>
      <c r="L125" s="313">
        <v>0</v>
      </c>
      <c r="M125" s="313">
        <v>0</v>
      </c>
      <c r="N125" s="313">
        <v>0</v>
      </c>
      <c r="O125" s="25"/>
      <c r="P125" s="25"/>
      <c r="Q125" s="25"/>
    </row>
    <row r="126" spans="1:17" x14ac:dyDescent="0.35">
      <c r="A126" s="147" t="str">
        <f>CONCATENATE("FTE for ",O124," Months")</f>
        <v>FTE for 9 Months</v>
      </c>
      <c r="B126" s="395">
        <f t="shared" ref="B126:M126" si="187">+B125/$O124</f>
        <v>0</v>
      </c>
      <c r="C126" s="395">
        <f t="shared" si="187"/>
        <v>0</v>
      </c>
      <c r="D126" s="395">
        <f t="shared" si="187"/>
        <v>0</v>
      </c>
      <c r="E126" s="395">
        <f t="shared" si="187"/>
        <v>0</v>
      </c>
      <c r="F126" s="395">
        <f t="shared" si="187"/>
        <v>0</v>
      </c>
      <c r="G126" s="395">
        <f t="shared" si="187"/>
        <v>0</v>
      </c>
      <c r="H126" s="395">
        <f t="shared" si="187"/>
        <v>0</v>
      </c>
      <c r="I126" s="395">
        <f t="shared" si="187"/>
        <v>0</v>
      </c>
      <c r="J126" s="395">
        <f t="shared" si="187"/>
        <v>0</v>
      </c>
      <c r="K126" s="395">
        <f t="shared" si="187"/>
        <v>0</v>
      </c>
      <c r="L126" s="395">
        <f t="shared" si="187"/>
        <v>0</v>
      </c>
      <c r="M126" s="395">
        <f t="shared" si="187"/>
        <v>0</v>
      </c>
      <c r="N126" s="395">
        <f t="shared" ref="N126" si="188">+N125/$O124</f>
        <v>0</v>
      </c>
      <c r="O126" s="89"/>
      <c r="P126" s="89"/>
      <c r="Q126" s="89"/>
    </row>
    <row r="127" spans="1:17" x14ac:dyDescent="0.35">
      <c r="A127" s="148" t="s">
        <v>56</v>
      </c>
      <c r="B127" s="396">
        <f t="shared" ref="B127:I127" si="189">+B125/12</f>
        <v>0</v>
      </c>
      <c r="C127" s="396">
        <f t="shared" si="189"/>
        <v>0</v>
      </c>
      <c r="D127" s="396">
        <f t="shared" si="189"/>
        <v>0</v>
      </c>
      <c r="E127" s="396">
        <f t="shared" si="189"/>
        <v>0</v>
      </c>
      <c r="F127" s="396">
        <f t="shared" si="189"/>
        <v>0</v>
      </c>
      <c r="G127" s="396">
        <f t="shared" si="189"/>
        <v>0</v>
      </c>
      <c r="H127" s="396">
        <f t="shared" ref="H127" si="190">+H125/12</f>
        <v>0</v>
      </c>
      <c r="I127" s="396">
        <f t="shared" si="189"/>
        <v>0</v>
      </c>
      <c r="J127" s="396">
        <f t="shared" ref="J127:L127" si="191">+J125/12</f>
        <v>0</v>
      </c>
      <c r="K127" s="396">
        <f t="shared" si="191"/>
        <v>0</v>
      </c>
      <c r="L127" s="396">
        <f t="shared" si="191"/>
        <v>0</v>
      </c>
      <c r="M127" s="396">
        <f t="shared" ref="M127:N127" si="192">+M125/12</f>
        <v>0</v>
      </c>
      <c r="N127" s="396">
        <f t="shared" si="192"/>
        <v>0</v>
      </c>
      <c r="O127" s="89"/>
      <c r="P127" s="89"/>
      <c r="Q127" s="89"/>
    </row>
    <row r="128" spans="1:17" x14ac:dyDescent="0.35">
      <c r="A128" s="147" t="s">
        <v>21</v>
      </c>
      <c r="B128" s="110">
        <f t="shared" ref="B128:K128" si="193">IF($O124=9,ROUND(B124*B126,0),IF($O124=12,ROUND((B124*B126*$Q$35)+(C124*B126*$Q$36),0),0))</f>
        <v>0</v>
      </c>
      <c r="C128" s="110">
        <f t="shared" si="193"/>
        <v>0</v>
      </c>
      <c r="D128" s="110">
        <f t="shared" si="193"/>
        <v>0</v>
      </c>
      <c r="E128" s="110">
        <f t="shared" si="193"/>
        <v>0</v>
      </c>
      <c r="F128" s="110">
        <f t="shared" si="193"/>
        <v>0</v>
      </c>
      <c r="G128" s="110">
        <f t="shared" si="193"/>
        <v>0</v>
      </c>
      <c r="H128" s="110">
        <f t="shared" si="193"/>
        <v>0</v>
      </c>
      <c r="I128" s="110">
        <f t="shared" si="193"/>
        <v>0</v>
      </c>
      <c r="J128" s="110">
        <f t="shared" si="193"/>
        <v>0</v>
      </c>
      <c r="K128" s="110">
        <f t="shared" si="193"/>
        <v>0</v>
      </c>
      <c r="L128" s="110">
        <f>IF($O124=9,ROUND(L124*L126,0),IF($O124=12,ROUND((L124*L126*$Q$35)+(N124*L126*$Q$36),0),0))</f>
        <v>0</v>
      </c>
      <c r="M128" s="110">
        <f>IF($O124=9,ROUND(M124*M126,0),IF($O124=12,ROUND((M124*M126*$Q$35)+(O124*M126*$Q$36),0),0))</f>
        <v>0</v>
      </c>
      <c r="N128" s="110">
        <f>IF($O124=9,ROUND(N124*N126,0),IF($O124=12,ROUND((N124*N126*$Q$35)+(P124*N126*$Q$36),0),0))</f>
        <v>0</v>
      </c>
      <c r="O128" s="89"/>
      <c r="P128" s="89"/>
      <c r="Q128" s="89"/>
    </row>
    <row r="129" spans="1:32" x14ac:dyDescent="0.35">
      <c r="A129" s="149"/>
      <c r="O129" s="89"/>
      <c r="P129" s="89"/>
      <c r="Q129" s="89"/>
    </row>
    <row r="130" spans="1:32" x14ac:dyDescent="0.35">
      <c r="A130" s="145" t="str">
        <f>CONCATENATE("Calculation based on ",O132," month salary")</f>
        <v>Calculation based on 9 month salary</v>
      </c>
      <c r="B130" s="104" t="str">
        <f t="shared" ref="B130:L130" si="194">IF(AND(B131=$AE$5,$O132=9),$AE$3,IF(AND(B131=$AF$5,$O132=9),$AF$3,IF(AND(B131=$AG$5,$O132=9),$AG$3,IF(AND(B131=$AH$5,$O132=9),$AH$3,IF(AND(B131=$AI$5,$O132=9),$AI$3,IF(AND(B131=$AJ$5,$O132=9),$AJ$3,IF(AND(B131=$AK$5,$O132=9),$AK$3,IF(AND(B131=$AL$5,$O132=9),$AL$3,IF(AND(B131=$AM$5,$O132=9),$AM$3,IF(AND(B131=$AN$5,$O132=9),$AN$3,IF(AND(B131=$AO$5,$O132=9),$AO$3,IF(AND(B131=$AP$5,$O132=9),$AJ$3,IF(AND(B131=$AE$4,$O132=12),$AE$3,IF(AND(B131=$AF$4,$O132=12),$AF$3,IF(AND(B131=$AG$4,$O132=12),$AG$3,IF(AND(B131=$AH$4,$O132=12),$AH$3,IF(AND(B131=$AI$4,$O132=12),$AI$3,IF(AND(B131=$AJ$4,$O132=12),$AJ$3,IF(AND(B131=$AK$4,$O132=12),$AK$3,IF(AND(B131=$AL$4,$O132=12),$AL$3,IF(AND(B131=$AM$4,$O132=12),$AM$3,IF(AND(B131=$AN$4,$O132=12),$AN$3,IF(AND(B131=$AO$4,$O132=12),$AO$3,IF(AND(B131=$AP$4,$O132=12),$AJ$3," "))))))))))))))))))))))))</f>
        <v xml:space="preserve"> </v>
      </c>
      <c r="C130" s="104" t="str">
        <f t="shared" si="194"/>
        <v>Year 1</v>
      </c>
      <c r="D130" s="104" t="str">
        <f t="shared" si="194"/>
        <v>Year 2</v>
      </c>
      <c r="E130" s="104" t="str">
        <f t="shared" si="194"/>
        <v>Year 3</v>
      </c>
      <c r="F130" s="104" t="str">
        <f t="shared" si="194"/>
        <v>Year 4</v>
      </c>
      <c r="G130" s="104" t="str">
        <f t="shared" si="194"/>
        <v>Year 5</v>
      </c>
      <c r="H130" s="104" t="str">
        <f t="shared" si="194"/>
        <v>Year 6</v>
      </c>
      <c r="I130" s="104" t="str">
        <f t="shared" si="194"/>
        <v>Year 7</v>
      </c>
      <c r="J130" s="104" t="str">
        <f t="shared" si="194"/>
        <v>Year 8</v>
      </c>
      <c r="K130" s="104" t="str">
        <f t="shared" si="194"/>
        <v>Year 9</v>
      </c>
      <c r="L130" s="104" t="str">
        <f t="shared" si="194"/>
        <v>Year 10</v>
      </c>
      <c r="M130" s="104" t="str">
        <f>IF(AND(M131=$AE$5,$O132=9),$AE$3,IF(AND(M131=$AF$5,$O132=9),$AF$3,IF(AND(M131=$AG$5,$O132=9),$AG$3,IF(AND(M131=$AH$5,$O132=9),$AH$3,IF(AND(M131=$AI$5,$O132=9),$AI$3,IF(AND(M131=$AJ$5,$O132=9),$AJ$3,IF(AND(M131=$AK$5,$O132=9),$AK$3,IF(AND(M131=$AL$5,$O132=9),$AL$3,IF(AND(M131=$AM$5,$O132=9),$AM$3,IF(AND(M131=$AN$5,$O132=9),$AN$3,IF(AND(M131=$AO$5,$O132=9),$AO$3,IF(AND(M131=$AP$5,$O132=9),$AP$3,IF(AND(M131=$AQ$5,$O132=9),$AJ$3,IF(AND(M131=$AE$4,$O132=12),$AE$3,IF(AND(M131=$AF$4,$O132=12),$AF$3,IF(AND(M131=$AG$4,$O132=12),$AG$3,IF(AND(M131=$AH$4,$O132=12),$AH$3,IF(AND(M131=$AI$4,$O132=12),$AI$3,IF(AND(M131=$AJ$4,$O132=12),$AJ$3,IF(AND(M131=$AK$4,$O132=12),$AK$3,IF(AND(M131=$AL$4,$O132=12),$AL$3,IF(AND(M131=$AM$4,$O132=12),$AM$3,IF(AND(M131=$AN$4,$O132=12),$AN$3,IF(AND(M131=$AO$4,$O132=12),$AO$3,IF(AND(M131=$AP$4,$O132=12),$AP$3,IF(AND(M131=$AQ$4,$O132=12),$AJ$3," "))))))))))))))))))))))))))</f>
        <v>Year 11</v>
      </c>
      <c r="N130" s="104" t="str">
        <f>IF(AND(N131=$AE$5,$O132=9),$AE$3,IF(AND(N131=$AF$5,$O132=9),$AF$3,IF(AND(N131=$AG$5,$O132=9),$AG$3,IF(AND(N131=$AH$5,$O132=9),$AH$3,IF(AND(N131=$AI$5,$O132=9),$AI$3,IF(AND(N131=$AJ$5,$O132=9),$AJ$3,IF(AND(N131=$AK$5,$O132=9),$AK$3,IF(AND(N131=$AL$5,$O132=9),$AL$3,IF(AND(N131=$AM$5,$O132=9),$AM$3,IF(AND(N131=$AN$5,$O132=9),$AN$3,IF(AND(N131=$AO$5,$O132=9),$AO$3,IF(AND(N131=$AP$5,$O132=9),$AP$3,IF(AND(N131=$AQ$5,$O132=9),$AJ$3,IF(AND(N131=$AE$4,$O132=12),$AE$3,IF(AND(N131=$AF$4,$O132=12),$AF$3,IF(AND(N131=$AG$4,$O132=12),$AG$3,IF(AND(N131=$AH$4,$O132=12),$AH$3,IF(AND(N131=$AI$4,$O132=12),$AI$3,IF(AND(N131=$AJ$4,$O132=12),$AJ$3,IF(AND(N131=$AK$4,$O132=12),$AK$3,IF(AND(N131=$AL$4,$O132=12),$AL$3,IF(AND(N131=$AM$4,$O132=12),$AM$3,IF(AND(N131=$AN$4,$O132=12),$AN$3,IF(AND(N131=$AO$4,$O132=12),$AO$3,IF(AND(N131=$AP$4,$O132=12),$AP$3,IF(AND(N131=$AQ$4,$O132=12),$AJ$3," "))))))))))))))))))))))))))</f>
        <v>Year 12</v>
      </c>
      <c r="O130" s="89"/>
      <c r="P130" s="89"/>
      <c r="Q130" s="89"/>
      <c r="V130" s="23"/>
    </row>
    <row r="131" spans="1:32" x14ac:dyDescent="0.35">
      <c r="A131" s="146" t="str">
        <f>+B104</f>
        <v>Co-PI</v>
      </c>
      <c r="B131" s="55" t="str">
        <f t="shared" ref="B131:I131" si="195">+N$2</f>
        <v>FY2023</v>
      </c>
      <c r="C131" s="55" t="str">
        <f t="shared" si="195"/>
        <v>FY2024</v>
      </c>
      <c r="D131" s="55" t="str">
        <f t="shared" si="195"/>
        <v>FY2025</v>
      </c>
      <c r="E131" s="55" t="str">
        <f t="shared" si="195"/>
        <v>FY2026</v>
      </c>
      <c r="F131" s="55" t="str">
        <f t="shared" si="195"/>
        <v>FY2027</v>
      </c>
      <c r="G131" s="55" t="str">
        <f t="shared" si="195"/>
        <v>FY2028</v>
      </c>
      <c r="H131" s="55" t="str">
        <f t="shared" si="195"/>
        <v>FY2029</v>
      </c>
      <c r="I131" s="55" t="str">
        <f t="shared" si="195"/>
        <v>FY2030</v>
      </c>
      <c r="J131" s="55" t="str">
        <f t="shared" ref="J131" si="196">+V$2</f>
        <v>FY2031</v>
      </c>
      <c r="K131" s="55" t="str">
        <f t="shared" ref="K131" si="197">+W$2</f>
        <v>FY2032</v>
      </c>
      <c r="L131" s="55" t="str">
        <f t="shared" ref="L131" si="198">+X$2</f>
        <v>FY2033</v>
      </c>
      <c r="M131" s="55" t="str">
        <f t="shared" ref="M131:N131" si="199">+Y$2</f>
        <v>FY2034</v>
      </c>
      <c r="N131" s="55" t="str">
        <f t="shared" si="199"/>
        <v>FY2035</v>
      </c>
      <c r="O131" s="32" t="s">
        <v>20</v>
      </c>
      <c r="P131" s="89" t="s">
        <v>64</v>
      </c>
      <c r="Q131" s="89"/>
      <c r="V131" s="23"/>
    </row>
    <row r="132" spans="1:32" x14ac:dyDescent="0.35">
      <c r="A132" s="147" t="str">
        <f>CONCATENATE("Base Salary: ",O132," month term")</f>
        <v>Base Salary: 9 month term</v>
      </c>
      <c r="B132" s="385">
        <v>0</v>
      </c>
      <c r="C132" s="386">
        <f>ROUND(+B132*(1+$P$132),0)</f>
        <v>0</v>
      </c>
      <c r="D132" s="386">
        <f t="shared" ref="D132:N132" si="200">ROUND(+C132*(1+$P$132),0)</f>
        <v>0</v>
      </c>
      <c r="E132" s="386">
        <f t="shared" si="200"/>
        <v>0</v>
      </c>
      <c r="F132" s="386">
        <f t="shared" si="200"/>
        <v>0</v>
      </c>
      <c r="G132" s="386">
        <f t="shared" si="200"/>
        <v>0</v>
      </c>
      <c r="H132" s="386">
        <f t="shared" si="200"/>
        <v>0</v>
      </c>
      <c r="I132" s="386">
        <f t="shared" si="200"/>
        <v>0</v>
      </c>
      <c r="J132" s="386">
        <f t="shared" si="200"/>
        <v>0</v>
      </c>
      <c r="K132" s="386">
        <f t="shared" si="200"/>
        <v>0</v>
      </c>
      <c r="L132" s="386">
        <f t="shared" si="200"/>
        <v>0</v>
      </c>
      <c r="M132" s="386">
        <f t="shared" si="200"/>
        <v>0</v>
      </c>
      <c r="N132" s="386">
        <f t="shared" si="200"/>
        <v>0</v>
      </c>
      <c r="O132" s="311">
        <v>9</v>
      </c>
      <c r="P132" s="312">
        <v>0.03</v>
      </c>
      <c r="Q132" s="52"/>
      <c r="V132" s="23"/>
    </row>
    <row r="133" spans="1:32" x14ac:dyDescent="0.35">
      <c r="A133" s="147" t="s">
        <v>44</v>
      </c>
      <c r="B133" s="313">
        <v>0</v>
      </c>
      <c r="C133" s="313">
        <v>0</v>
      </c>
      <c r="D133" s="313">
        <v>0</v>
      </c>
      <c r="E133" s="313">
        <v>0</v>
      </c>
      <c r="F133" s="313">
        <v>0</v>
      </c>
      <c r="G133" s="313">
        <v>0</v>
      </c>
      <c r="H133" s="313">
        <v>0</v>
      </c>
      <c r="I133" s="313">
        <v>0</v>
      </c>
      <c r="J133" s="313">
        <v>0</v>
      </c>
      <c r="K133" s="313">
        <v>0</v>
      </c>
      <c r="L133" s="313">
        <v>0</v>
      </c>
      <c r="M133" s="313">
        <v>0</v>
      </c>
      <c r="N133" s="313">
        <v>0</v>
      </c>
      <c r="O133" s="25"/>
      <c r="P133" s="25"/>
      <c r="Q133" s="25"/>
    </row>
    <row r="134" spans="1:32" x14ac:dyDescent="0.35">
      <c r="A134" s="147" t="str">
        <f>CONCATENATE("FTE for ",O132," Months")</f>
        <v>FTE for 9 Months</v>
      </c>
      <c r="B134" s="395">
        <f t="shared" ref="B134:M134" si="201">+B133/$O132</f>
        <v>0</v>
      </c>
      <c r="C134" s="395">
        <f t="shared" si="201"/>
        <v>0</v>
      </c>
      <c r="D134" s="395">
        <f t="shared" si="201"/>
        <v>0</v>
      </c>
      <c r="E134" s="395">
        <f t="shared" si="201"/>
        <v>0</v>
      </c>
      <c r="F134" s="395">
        <f t="shared" si="201"/>
        <v>0</v>
      </c>
      <c r="G134" s="395">
        <f t="shared" si="201"/>
        <v>0</v>
      </c>
      <c r="H134" s="395">
        <f t="shared" si="201"/>
        <v>0</v>
      </c>
      <c r="I134" s="395">
        <f t="shared" si="201"/>
        <v>0</v>
      </c>
      <c r="J134" s="395">
        <f t="shared" si="201"/>
        <v>0</v>
      </c>
      <c r="K134" s="395">
        <f t="shared" si="201"/>
        <v>0</v>
      </c>
      <c r="L134" s="395">
        <f t="shared" si="201"/>
        <v>0</v>
      </c>
      <c r="M134" s="395">
        <f t="shared" si="201"/>
        <v>0</v>
      </c>
      <c r="N134" s="395">
        <f t="shared" ref="N134" si="202">+N133/$O132</f>
        <v>0</v>
      </c>
      <c r="O134" s="89"/>
      <c r="P134" s="89"/>
      <c r="Q134" s="89"/>
    </row>
    <row r="135" spans="1:32" x14ac:dyDescent="0.35">
      <c r="A135" s="148" t="s">
        <v>56</v>
      </c>
      <c r="B135" s="396">
        <f>+B133/12</f>
        <v>0</v>
      </c>
      <c r="C135" s="396">
        <f>+C133/12</f>
        <v>0</v>
      </c>
      <c r="D135" s="396">
        <f t="shared" ref="D135:F135" si="203">+D133/12</f>
        <v>0</v>
      </c>
      <c r="E135" s="396">
        <f t="shared" si="203"/>
        <v>0</v>
      </c>
      <c r="F135" s="396">
        <f t="shared" si="203"/>
        <v>0</v>
      </c>
      <c r="G135" s="396">
        <f t="shared" ref="G135:L135" si="204">+G133/12</f>
        <v>0</v>
      </c>
      <c r="H135" s="396">
        <f t="shared" si="204"/>
        <v>0</v>
      </c>
      <c r="I135" s="396">
        <f t="shared" si="204"/>
        <v>0</v>
      </c>
      <c r="J135" s="396">
        <f t="shared" si="204"/>
        <v>0</v>
      </c>
      <c r="K135" s="396">
        <f t="shared" si="204"/>
        <v>0</v>
      </c>
      <c r="L135" s="396">
        <f t="shared" si="204"/>
        <v>0</v>
      </c>
      <c r="M135" s="396">
        <f t="shared" ref="M135:N135" si="205">+M133/12</f>
        <v>0</v>
      </c>
      <c r="N135" s="396">
        <f t="shared" si="205"/>
        <v>0</v>
      </c>
      <c r="O135" s="89"/>
      <c r="P135" s="89"/>
      <c r="Q135" s="89"/>
    </row>
    <row r="136" spans="1:32" x14ac:dyDescent="0.35">
      <c r="A136" s="147" t="s">
        <v>21</v>
      </c>
      <c r="B136" s="110">
        <f t="shared" ref="B136:K136" si="206">IF($O132=9,ROUND(B132*B134,0),IF($O132=12,ROUND((B132*B134*$Q$35)+(C132*B134*$Q$36),0),0))</f>
        <v>0</v>
      </c>
      <c r="C136" s="110">
        <f t="shared" si="206"/>
        <v>0</v>
      </c>
      <c r="D136" s="110">
        <f t="shared" si="206"/>
        <v>0</v>
      </c>
      <c r="E136" s="110">
        <f t="shared" si="206"/>
        <v>0</v>
      </c>
      <c r="F136" s="110">
        <f t="shared" si="206"/>
        <v>0</v>
      </c>
      <c r="G136" s="110">
        <f t="shared" si="206"/>
        <v>0</v>
      </c>
      <c r="H136" s="110">
        <f t="shared" si="206"/>
        <v>0</v>
      </c>
      <c r="I136" s="110">
        <f t="shared" si="206"/>
        <v>0</v>
      </c>
      <c r="J136" s="110">
        <f t="shared" si="206"/>
        <v>0</v>
      </c>
      <c r="K136" s="110">
        <f t="shared" si="206"/>
        <v>0</v>
      </c>
      <c r="L136" s="110">
        <f>IF($O132=9,ROUND(L132*L134,0),IF($O132=12,ROUND((L132*L134*$Q$35)+(N132*L134*$Q$36),0),0))</f>
        <v>0</v>
      </c>
      <c r="M136" s="110">
        <f>IF($O132=9,ROUND(M132*M134,0),IF($O132=12,ROUND((M132*M134*$Q$35)+(O132*M134*$Q$36),0),0))</f>
        <v>0</v>
      </c>
      <c r="N136" s="110">
        <f>IF($O132=9,ROUND(N132*N134,0),IF($O132=12,ROUND((N132*N134*$Q$35)+(P132*N134*$Q$36),0),0))</f>
        <v>0</v>
      </c>
      <c r="O136" s="89"/>
      <c r="P136" s="89"/>
      <c r="Q136" s="89"/>
    </row>
    <row r="137" spans="1:32" x14ac:dyDescent="0.35">
      <c r="A137" s="14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89"/>
      <c r="P137" s="89"/>
      <c r="Q137" s="89"/>
      <c r="R137" s="26"/>
      <c r="S137" s="23"/>
      <c r="T137" s="23"/>
      <c r="U137" s="23"/>
      <c r="V137" s="23"/>
      <c r="W137" s="23"/>
    </row>
    <row r="138" spans="1:32" x14ac:dyDescent="0.35">
      <c r="A138" s="145" t="str">
        <f>CONCATENATE("Calculation based on ",O140," month salary")</f>
        <v>Calculation based on 9 month salary</v>
      </c>
      <c r="B138" s="104" t="str">
        <f t="shared" ref="B138:L138" si="207">IF(AND(B139=$AE$5,$O140=9),$AE$3,IF(AND(B139=$AF$5,$O140=9),$AF$3,IF(AND(B139=$AG$5,$O140=9),$AG$3,IF(AND(B139=$AH$5,$O140=9),$AH$3,IF(AND(B139=$AI$5,$O140=9),$AI$3,IF(AND(B139=$AJ$5,$O140=9),$AJ$3,IF(AND(B139=$AK$5,$O140=9),$AK$3,IF(AND(B139=$AL$5,$O140=9),$AL$3,IF(AND(B139=$AM$5,$O140=9),$AM$3,IF(AND(B139=$AN$5,$O140=9),$AN$3,IF(AND(B139=$AO$5,$O140=9),$AO$3,IF(AND(B139=$AP$5,$O140=9),$AJ$3,IF(AND(B139=$AE$4,$O140=12),$AE$3,IF(AND(B139=$AF$4,$O140=12),$AF$3,IF(AND(B139=$AG$4,$O140=12),$AG$3,IF(AND(B139=$AH$4,$O140=12),$AH$3,IF(AND(B139=$AI$4,$O140=12),$AI$3,IF(AND(B139=$AJ$4,$O140=12),$AJ$3,IF(AND(B139=$AK$4,$O140=12),$AK$3,IF(AND(B139=$AL$4,$O140=12),$AL$3,IF(AND(B139=$AM$4,$O140=12),$AM$3,IF(AND(B139=$AN$4,$O140=12),$AN$3,IF(AND(B139=$AO$4,$O140=12),$AO$3,IF(AND(B139=$AP$4,$O140=12),$AJ$3," "))))))))))))))))))))))))</f>
        <v xml:space="preserve"> </v>
      </c>
      <c r="C138" s="104" t="str">
        <f t="shared" si="207"/>
        <v>Year 1</v>
      </c>
      <c r="D138" s="104" t="str">
        <f t="shared" si="207"/>
        <v>Year 2</v>
      </c>
      <c r="E138" s="104" t="str">
        <f t="shared" si="207"/>
        <v>Year 3</v>
      </c>
      <c r="F138" s="104" t="str">
        <f t="shared" si="207"/>
        <v>Year 4</v>
      </c>
      <c r="G138" s="104" t="str">
        <f t="shared" si="207"/>
        <v>Year 5</v>
      </c>
      <c r="H138" s="104" t="str">
        <f t="shared" si="207"/>
        <v>Year 6</v>
      </c>
      <c r="I138" s="104" t="str">
        <f t="shared" si="207"/>
        <v>Year 7</v>
      </c>
      <c r="J138" s="104" t="str">
        <f t="shared" si="207"/>
        <v>Year 8</v>
      </c>
      <c r="K138" s="104" t="str">
        <f t="shared" si="207"/>
        <v>Year 9</v>
      </c>
      <c r="L138" s="104" t="str">
        <f t="shared" si="207"/>
        <v>Year 10</v>
      </c>
      <c r="M138" s="104" t="str">
        <f>IF(AND(M139=$AE$5,$O140=9),$AE$3,IF(AND(M139=$AF$5,$O140=9),$AF$3,IF(AND(M139=$AG$5,$O140=9),$AG$3,IF(AND(M139=$AH$5,$O140=9),$AH$3,IF(AND(M139=$AI$5,$O140=9),$AI$3,IF(AND(M139=$AJ$5,$O140=9),$AJ$3,IF(AND(M139=$AK$5,$O140=9),$AK$3,IF(AND(M139=$AL$5,$O140=9),$AL$3,IF(AND(M139=$AM$5,$O140=9),$AM$3,IF(AND(M139=$AN$5,$O140=9),$AN$3,IF(AND(M139=$AO$5,$O140=9),$AO$3,IF(AND(M139=$AP$5,$O140=9),$AP$3,IF(AND(M139=$AQ$5,$O140=9),$AJ$3,IF(AND(M139=$AE$4,$O140=12),$AE$3,IF(AND(M139=$AF$4,$O140=12),$AF$3,IF(AND(M139=$AG$4,$O140=12),$AG$3,IF(AND(M139=$AH$4,$O140=12),$AH$3,IF(AND(M139=$AI$4,$O140=12),$AI$3,IF(AND(M139=$AJ$4,$O140=12),$AJ$3,IF(AND(M139=$AK$4,$O140=12),$AK$3,IF(AND(M139=$AL$4,$O140=12),$AL$3,IF(AND(M139=$AM$4,$O140=12),$AM$3,IF(AND(M139=$AN$4,$O140=12),$AN$3,IF(AND(M139=$AO$4,$O140=12),$AO$3,IF(AND(M139=$AP$4,$O140=12),$AP$3,IF(AND(M139=$AQ$4,$O140=12),$AJ$3," "))))))))))))))))))))))))))</f>
        <v>Year 11</v>
      </c>
      <c r="N138" s="104" t="str">
        <f>IF(AND(N139=$AE$5,$O140=9),$AE$3,IF(AND(N139=$AF$5,$O140=9),$AF$3,IF(AND(N139=$AG$5,$O140=9),$AG$3,IF(AND(N139=$AH$5,$O140=9),$AH$3,IF(AND(N139=$AI$5,$O140=9),$AI$3,IF(AND(N139=$AJ$5,$O140=9),$AJ$3,IF(AND(N139=$AK$5,$O140=9),$AK$3,IF(AND(N139=$AL$5,$O140=9),$AL$3,IF(AND(N139=$AM$5,$O140=9),$AM$3,IF(AND(N139=$AN$5,$O140=9),$AN$3,IF(AND(N139=$AO$5,$O140=9),$AO$3,IF(AND(N139=$AP$5,$O140=9),$AP$3,IF(AND(N139=$AQ$5,$O140=9),$AJ$3,IF(AND(N139=$AE$4,$O140=12),$AE$3,IF(AND(N139=$AF$4,$O140=12),$AF$3,IF(AND(N139=$AG$4,$O140=12),$AG$3,IF(AND(N139=$AH$4,$O140=12),$AH$3,IF(AND(N139=$AI$4,$O140=12),$AI$3,IF(AND(N139=$AJ$4,$O140=12),$AJ$3,IF(AND(N139=$AK$4,$O140=12),$AK$3,IF(AND(N139=$AL$4,$O140=12),$AL$3,IF(AND(N139=$AM$4,$O140=12),$AM$3,IF(AND(N139=$AN$4,$O140=12),$AN$3,IF(AND(N139=$AO$4,$O140=12),$AO$3,IF(AND(N139=$AP$4,$O140=12),$AP$3,IF(AND(N139=$AQ$4,$O140=12),$AJ$3," "))))))))))))))))))))))))))</f>
        <v>Year 12</v>
      </c>
      <c r="O138" s="89"/>
      <c r="P138" s="89"/>
      <c r="Q138" s="89"/>
    </row>
    <row r="139" spans="1:32" x14ac:dyDescent="0.35">
      <c r="A139" s="146" t="str">
        <f>+B105</f>
        <v>Co-PI</v>
      </c>
      <c r="B139" s="55" t="str">
        <f t="shared" ref="B139:I139" si="208">+N$2</f>
        <v>FY2023</v>
      </c>
      <c r="C139" s="55" t="str">
        <f t="shared" si="208"/>
        <v>FY2024</v>
      </c>
      <c r="D139" s="55" t="str">
        <f t="shared" si="208"/>
        <v>FY2025</v>
      </c>
      <c r="E139" s="55" t="str">
        <f t="shared" si="208"/>
        <v>FY2026</v>
      </c>
      <c r="F139" s="55" t="str">
        <f t="shared" si="208"/>
        <v>FY2027</v>
      </c>
      <c r="G139" s="55" t="str">
        <f t="shared" si="208"/>
        <v>FY2028</v>
      </c>
      <c r="H139" s="55" t="str">
        <f t="shared" si="208"/>
        <v>FY2029</v>
      </c>
      <c r="I139" s="55" t="str">
        <f t="shared" si="208"/>
        <v>FY2030</v>
      </c>
      <c r="J139" s="55" t="str">
        <f t="shared" ref="J139" si="209">+V$2</f>
        <v>FY2031</v>
      </c>
      <c r="K139" s="55" t="str">
        <f t="shared" ref="K139" si="210">+W$2</f>
        <v>FY2032</v>
      </c>
      <c r="L139" s="55" t="str">
        <f t="shared" ref="L139" si="211">+X$2</f>
        <v>FY2033</v>
      </c>
      <c r="M139" s="55" t="str">
        <f t="shared" ref="M139:N139" si="212">+Y$2</f>
        <v>FY2034</v>
      </c>
      <c r="N139" s="55" t="str">
        <f t="shared" si="212"/>
        <v>FY2035</v>
      </c>
      <c r="O139" s="32" t="s">
        <v>20</v>
      </c>
      <c r="P139" s="89" t="s">
        <v>64</v>
      </c>
      <c r="Q139" s="89"/>
    </row>
    <row r="140" spans="1:32" x14ac:dyDescent="0.35">
      <c r="A140" s="147" t="str">
        <f>CONCATENATE("Base Salary: ",O140," month term")</f>
        <v>Base Salary: 9 month term</v>
      </c>
      <c r="B140" s="385">
        <v>0</v>
      </c>
      <c r="C140" s="386">
        <f>ROUND(+B140*(1+$P$140),0)</f>
        <v>0</v>
      </c>
      <c r="D140" s="386">
        <f t="shared" ref="D140:N140" si="213">ROUND(+C140*(1+$P$140),0)</f>
        <v>0</v>
      </c>
      <c r="E140" s="386">
        <f t="shared" si="213"/>
        <v>0</v>
      </c>
      <c r="F140" s="386">
        <f t="shared" si="213"/>
        <v>0</v>
      </c>
      <c r="G140" s="386">
        <f t="shared" si="213"/>
        <v>0</v>
      </c>
      <c r="H140" s="386">
        <f t="shared" si="213"/>
        <v>0</v>
      </c>
      <c r="I140" s="386">
        <f t="shared" si="213"/>
        <v>0</v>
      </c>
      <c r="J140" s="386">
        <f t="shared" si="213"/>
        <v>0</v>
      </c>
      <c r="K140" s="386">
        <f t="shared" si="213"/>
        <v>0</v>
      </c>
      <c r="L140" s="386">
        <f t="shared" si="213"/>
        <v>0</v>
      </c>
      <c r="M140" s="386">
        <f t="shared" si="213"/>
        <v>0</v>
      </c>
      <c r="N140" s="386">
        <f t="shared" si="213"/>
        <v>0</v>
      </c>
      <c r="O140" s="311">
        <v>9</v>
      </c>
      <c r="P140" s="312">
        <v>0.03</v>
      </c>
      <c r="Q140" s="52"/>
    </row>
    <row r="141" spans="1:32" x14ac:dyDescent="0.35">
      <c r="A141" s="147" t="s">
        <v>44</v>
      </c>
      <c r="B141" s="313">
        <v>0</v>
      </c>
      <c r="C141" s="313">
        <v>0</v>
      </c>
      <c r="D141" s="313">
        <v>0</v>
      </c>
      <c r="E141" s="313">
        <v>0</v>
      </c>
      <c r="F141" s="313">
        <v>0</v>
      </c>
      <c r="G141" s="313">
        <v>0</v>
      </c>
      <c r="H141" s="313">
        <v>0</v>
      </c>
      <c r="I141" s="313">
        <v>0</v>
      </c>
      <c r="J141" s="313">
        <v>0</v>
      </c>
      <c r="K141" s="313">
        <v>0</v>
      </c>
      <c r="L141" s="313">
        <v>0</v>
      </c>
      <c r="M141" s="313">
        <v>0</v>
      </c>
      <c r="N141" s="313">
        <v>0</v>
      </c>
      <c r="O141" s="25"/>
      <c r="P141" s="25"/>
      <c r="Q141" s="154"/>
      <c r="R141" s="42" t="str">
        <f>+O$20</f>
        <v>Graduate Student (Stipend, Tuition, Health Ins) - Endowed College Rates:</v>
      </c>
    </row>
    <row r="142" spans="1:32" x14ac:dyDescent="0.35">
      <c r="A142" s="147" t="str">
        <f>CONCATENATE("FTE for ",O140," Months")</f>
        <v>FTE for 9 Months</v>
      </c>
      <c r="B142" s="395">
        <f t="shared" ref="B142:M142" si="214">+B141/$O140</f>
        <v>0</v>
      </c>
      <c r="C142" s="395">
        <f t="shared" si="214"/>
        <v>0</v>
      </c>
      <c r="D142" s="395">
        <f t="shared" si="214"/>
        <v>0</v>
      </c>
      <c r="E142" s="395">
        <f t="shared" si="214"/>
        <v>0</v>
      </c>
      <c r="F142" s="395">
        <f t="shared" si="214"/>
        <v>0</v>
      </c>
      <c r="G142" s="395">
        <f t="shared" si="214"/>
        <v>0</v>
      </c>
      <c r="H142" s="395">
        <f t="shared" si="214"/>
        <v>0</v>
      </c>
      <c r="I142" s="395">
        <f t="shared" si="214"/>
        <v>0</v>
      </c>
      <c r="J142" s="395">
        <f t="shared" si="214"/>
        <v>0</v>
      </c>
      <c r="K142" s="395">
        <f t="shared" si="214"/>
        <v>0</v>
      </c>
      <c r="L142" s="395">
        <f t="shared" si="214"/>
        <v>0</v>
      </c>
      <c r="M142" s="395">
        <f t="shared" si="214"/>
        <v>0</v>
      </c>
      <c r="N142" s="395">
        <f t="shared" ref="N142" si="215">+N141/$O140</f>
        <v>0</v>
      </c>
      <c r="O142" s="89"/>
      <c r="P142" s="89"/>
      <c r="Q142" s="154"/>
      <c r="R142" s="25"/>
      <c r="S142" s="113" t="str">
        <f>+$P$24</f>
        <v>FY2023</v>
      </c>
      <c r="T142" s="113" t="str">
        <f>+$Q$24</f>
        <v>FY2024</v>
      </c>
      <c r="U142" s="113" t="str">
        <f>+$R$24</f>
        <v>FY2025</v>
      </c>
      <c r="V142" s="113" t="str">
        <f>+$S$24</f>
        <v>FY2026</v>
      </c>
      <c r="W142" s="113" t="str">
        <f>+$T$24</f>
        <v>FY2027</v>
      </c>
      <c r="X142" s="113" t="str">
        <f>+$U$24</f>
        <v>FY2028</v>
      </c>
      <c r="Y142" s="113" t="str">
        <f>+$V$24</f>
        <v>FY2029</v>
      </c>
      <c r="Z142" s="113" t="str">
        <f>+$W$24</f>
        <v>FY2030</v>
      </c>
      <c r="AA142" s="113" t="str">
        <f>+$X$24</f>
        <v>FY2031</v>
      </c>
      <c r="AB142" s="113" t="str">
        <f>+$Y$24</f>
        <v>FY2032</v>
      </c>
      <c r="AC142" s="113" t="str">
        <f>+$Z$24</f>
        <v>FY2033</v>
      </c>
      <c r="AD142" s="113" t="str">
        <f>+$AA$24</f>
        <v>FY2034</v>
      </c>
      <c r="AE142" s="113" t="str">
        <f>+$AB$24</f>
        <v>FY2035</v>
      </c>
      <c r="AF142" s="114" t="s">
        <v>101</v>
      </c>
    </row>
    <row r="143" spans="1:32" x14ac:dyDescent="0.35">
      <c r="A143" s="148" t="s">
        <v>56</v>
      </c>
      <c r="B143" s="396">
        <f>+B141/12</f>
        <v>0</v>
      </c>
      <c r="C143" s="396">
        <f>+C141/12</f>
        <v>0</v>
      </c>
      <c r="D143" s="396">
        <f t="shared" ref="D143:F143" si="216">+D141/12</f>
        <v>0</v>
      </c>
      <c r="E143" s="396">
        <f t="shared" si="216"/>
        <v>0</v>
      </c>
      <c r="F143" s="396">
        <f t="shared" si="216"/>
        <v>0</v>
      </c>
      <c r="G143" s="396">
        <f t="shared" ref="G143:L143" si="217">+G141/12</f>
        <v>0</v>
      </c>
      <c r="H143" s="396">
        <f t="shared" si="217"/>
        <v>0</v>
      </c>
      <c r="I143" s="396">
        <f t="shared" si="217"/>
        <v>0</v>
      </c>
      <c r="J143" s="396">
        <f t="shared" si="217"/>
        <v>0</v>
      </c>
      <c r="K143" s="396">
        <f>+K141/12</f>
        <v>0</v>
      </c>
      <c r="L143" s="396">
        <f t="shared" si="217"/>
        <v>0</v>
      </c>
      <c r="M143" s="396">
        <f t="shared" ref="M143:N143" si="218">+M141/12</f>
        <v>0</v>
      </c>
      <c r="N143" s="396">
        <f t="shared" si="218"/>
        <v>0</v>
      </c>
      <c r="O143" s="89"/>
      <c r="P143" s="89"/>
      <c r="Q143" s="154"/>
      <c r="R143" s="30" t="s">
        <v>35</v>
      </c>
      <c r="S143" s="101">
        <f>+$P$25</f>
        <v>30087</v>
      </c>
      <c r="T143" s="101">
        <f>IF(ROUND(S143*(1+$AF143),0)=$Q$25,ROUND(S143*(1+$AF143),0),$Q$25)</f>
        <v>32494.5</v>
      </c>
      <c r="U143" s="101">
        <f t="shared" ref="U143:AE143" si="219">ROUND(T143*(1+$AF143),0)</f>
        <v>35094</v>
      </c>
      <c r="V143" s="101">
        <f t="shared" si="219"/>
        <v>37902</v>
      </c>
      <c r="W143" s="101">
        <f t="shared" si="219"/>
        <v>40934</v>
      </c>
      <c r="X143" s="101">
        <f t="shared" si="219"/>
        <v>44209</v>
      </c>
      <c r="Y143" s="101">
        <f t="shared" si="219"/>
        <v>47746</v>
      </c>
      <c r="Z143" s="101">
        <f t="shared" si="219"/>
        <v>51566</v>
      </c>
      <c r="AA143" s="101">
        <f t="shared" si="219"/>
        <v>55691</v>
      </c>
      <c r="AB143" s="101">
        <f t="shared" si="219"/>
        <v>60146</v>
      </c>
      <c r="AC143" s="101">
        <f t="shared" si="219"/>
        <v>64958</v>
      </c>
      <c r="AD143" s="101">
        <f t="shared" si="219"/>
        <v>70155</v>
      </c>
      <c r="AE143" s="101">
        <f t="shared" si="219"/>
        <v>75767</v>
      </c>
      <c r="AF143" s="31">
        <v>0.08</v>
      </c>
    </row>
    <row r="144" spans="1:32" x14ac:dyDescent="0.35">
      <c r="A144" s="147" t="s">
        <v>21</v>
      </c>
      <c r="B144" s="110">
        <f t="shared" ref="B144:K144" si="220">IF($O140=9,ROUND(B140*B142,0),IF($O140=12,ROUND((B140*B142*$Q$35)+(C140*B142*$Q$36),0),0))</f>
        <v>0</v>
      </c>
      <c r="C144" s="110">
        <f t="shared" si="220"/>
        <v>0</v>
      </c>
      <c r="D144" s="110">
        <f t="shared" si="220"/>
        <v>0</v>
      </c>
      <c r="E144" s="110">
        <f t="shared" si="220"/>
        <v>0</v>
      </c>
      <c r="F144" s="110">
        <f t="shared" si="220"/>
        <v>0</v>
      </c>
      <c r="G144" s="110">
        <f t="shared" si="220"/>
        <v>0</v>
      </c>
      <c r="H144" s="110">
        <f t="shared" si="220"/>
        <v>0</v>
      </c>
      <c r="I144" s="110">
        <f t="shared" si="220"/>
        <v>0</v>
      </c>
      <c r="J144" s="110">
        <f t="shared" si="220"/>
        <v>0</v>
      </c>
      <c r="K144" s="110">
        <f t="shared" si="220"/>
        <v>0</v>
      </c>
      <c r="L144" s="110">
        <f>IF($O140=9,ROUND(L140*L142,0),IF($O140=12,ROUND((L140*L142*$Q$35)+(N140*L142*$Q$36),0),0))</f>
        <v>0</v>
      </c>
      <c r="M144" s="110">
        <f>IF($O140=9,ROUND(M140*M142,0),IF($O140=12,ROUND((M140*M142*$Q$35)+(O140*M142*$Q$36),0),0))</f>
        <v>0</v>
      </c>
      <c r="N144" s="110">
        <f>IF($O140=9,ROUND(N140*N142,0),IF($O140=12,ROUND((N140*N142*$Q$35)+(P140*N142*$Q$36),0),0))</f>
        <v>0</v>
      </c>
      <c r="O144" s="89"/>
      <c r="P144" s="89"/>
      <c r="Q144" s="154"/>
      <c r="R144" s="30" t="s">
        <v>23</v>
      </c>
      <c r="S144" s="101">
        <f>+$P$26</f>
        <v>10029</v>
      </c>
      <c r="T144" s="101">
        <f>IF(ROUND(S144*(1+$AF144),0)=$Q$26,ROUND(S144*(1+$AF144),0),$Q$26)</f>
        <v>10831.5</v>
      </c>
      <c r="U144" s="101">
        <f t="shared" ref="U144:AE144" si="221">ROUND(T144*(1+$AF144),0)</f>
        <v>11698</v>
      </c>
      <c r="V144" s="101">
        <f t="shared" si="221"/>
        <v>12634</v>
      </c>
      <c r="W144" s="101">
        <f t="shared" si="221"/>
        <v>13645</v>
      </c>
      <c r="X144" s="101">
        <f t="shared" si="221"/>
        <v>14737</v>
      </c>
      <c r="Y144" s="101">
        <f t="shared" si="221"/>
        <v>15916</v>
      </c>
      <c r="Z144" s="101">
        <f t="shared" si="221"/>
        <v>17189</v>
      </c>
      <c r="AA144" s="101">
        <f t="shared" si="221"/>
        <v>18564</v>
      </c>
      <c r="AB144" s="101">
        <f t="shared" si="221"/>
        <v>20049</v>
      </c>
      <c r="AC144" s="101">
        <f t="shared" si="221"/>
        <v>21653</v>
      </c>
      <c r="AD144" s="101">
        <f t="shared" si="221"/>
        <v>23385</v>
      </c>
      <c r="AE144" s="101">
        <f t="shared" si="221"/>
        <v>25256</v>
      </c>
      <c r="AF144" s="66">
        <v>0.08</v>
      </c>
    </row>
    <row r="145" spans="1:33" x14ac:dyDescent="0.35">
      <c r="A145" s="14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89"/>
      <c r="P145" s="89"/>
      <c r="Q145" s="154"/>
      <c r="R145" s="30" t="s">
        <v>30</v>
      </c>
      <c r="S145" s="101">
        <f>+$P$27</f>
        <v>40116</v>
      </c>
      <c r="T145" s="101">
        <f>+T143+T144</f>
        <v>43326</v>
      </c>
      <c r="U145" s="101">
        <f t="shared" ref="U145:AD145" si="222">+U143+U144</f>
        <v>46792</v>
      </c>
      <c r="V145" s="101">
        <f t="shared" si="222"/>
        <v>50536</v>
      </c>
      <c r="W145" s="101">
        <f t="shared" si="222"/>
        <v>54579</v>
      </c>
      <c r="X145" s="101">
        <f t="shared" si="222"/>
        <v>58946</v>
      </c>
      <c r="Y145" s="101">
        <f t="shared" si="222"/>
        <v>63662</v>
      </c>
      <c r="Z145" s="101">
        <f t="shared" si="222"/>
        <v>68755</v>
      </c>
      <c r="AA145" s="101">
        <f t="shared" si="222"/>
        <v>74255</v>
      </c>
      <c r="AB145" s="101">
        <f t="shared" si="222"/>
        <v>80195</v>
      </c>
      <c r="AC145" s="101">
        <f t="shared" si="222"/>
        <v>86611</v>
      </c>
      <c r="AD145" s="101">
        <f t="shared" si="222"/>
        <v>93540</v>
      </c>
      <c r="AE145" s="101">
        <f t="shared" ref="AE145" si="223">+AE143+AE144</f>
        <v>101023</v>
      </c>
      <c r="AF145" s="31"/>
    </row>
    <row r="146" spans="1:33" x14ac:dyDescent="0.35">
      <c r="A146" s="147"/>
      <c r="B146" s="104" t="str">
        <f t="shared" ref="B146:L146" si="224">IF(AND(B147=$AE$5,$O148=9),$AE$3,IF(AND(B147=$AF$5,$O148=9),$AF$3,IF(AND(B147=$AG$5,$O148=9),$AG$3,IF(AND(B147=$AH$5,$O148=9),$AH$3,IF(AND(B147=$AI$5,$O148=9),$AI$3,IF(AND(B147=$AJ$5,$O148=9),$AJ$3,IF(AND(B147=$AK$5,$O148=9),$AK$3,IF(AND(B147=$AL$5,$O148=9),$AL$3,IF(AND(B147=$AM$5,$O148=9),$AM$3,IF(AND(B147=$AN$5,$O148=9),$AN$3,IF(AND(B147=$AO$5,$O148=9),$AO$3,IF(AND(B147=$AP$5,$O148=9),$AJ$3,IF(AND(B147=$AE$4,$O148=12),$AE$3,IF(AND(B147=$AF$4,$O148=12),$AF$3,IF(AND(B147=$AG$4,$O148=12),$AG$3,IF(AND(B147=$AH$4,$O148=12),$AH$3,IF(AND(B147=$AI$4,$O148=12),$AI$3,IF(AND(B147=$AJ$4,$O148=12),$AJ$3,IF(AND(B147=$AK$4,$O148=12),$AK$3,IF(AND(B147=$AL$4,$O148=12),$AL$3,IF(AND(B147=$AM$4,$O148=12),$AM$3,IF(AND(B147=$AN$4,$O148=12),$AN$3,IF(AND(B147=$AO$4,$O148=12),$AO$3,IF(AND(B147=$AP$4,$O148=12),$AJ$3," "))))))))))))))))))))))))</f>
        <v xml:space="preserve"> </v>
      </c>
      <c r="C146" s="104" t="str">
        <f t="shared" si="224"/>
        <v>Year 1</v>
      </c>
      <c r="D146" s="104" t="str">
        <f t="shared" si="224"/>
        <v>Year 2</v>
      </c>
      <c r="E146" s="104" t="str">
        <f t="shared" si="224"/>
        <v>Year 3</v>
      </c>
      <c r="F146" s="104" t="str">
        <f t="shared" si="224"/>
        <v>Year 4</v>
      </c>
      <c r="G146" s="104" t="str">
        <f t="shared" si="224"/>
        <v>Year 5</v>
      </c>
      <c r="H146" s="104" t="str">
        <f t="shared" si="224"/>
        <v>Year 6</v>
      </c>
      <c r="I146" s="104" t="str">
        <f t="shared" si="224"/>
        <v>Year 7</v>
      </c>
      <c r="J146" s="104" t="str">
        <f t="shared" si="224"/>
        <v>Year 8</v>
      </c>
      <c r="K146" s="104" t="str">
        <f t="shared" si="224"/>
        <v>Year 9</v>
      </c>
      <c r="L146" s="104" t="str">
        <f t="shared" si="224"/>
        <v>Year 10</v>
      </c>
      <c r="M146" s="104" t="str">
        <f t="shared" ref="M146" si="225">IF(AND(M147=$AE$5,$O148=9),$AE$3,IF(AND(M147=$AF$5,$O148=9),$AF$3,IF(AND(M147=$AG$5,$O148=9),$AG$3,IF(AND(M147=$AH$5,$O148=9),$AH$3,IF(AND(M147=$AI$5,$O148=9),$AI$3,IF(AND(M147=$AJ$5,$O148=9),$AJ$3,IF(AND(M147=$AK$5,$O148=9),$AK$3,IF(AND(M147=$AL$5,$O148=9),$AL$3,IF(AND(M147=$AM$5,$O148=9),$AM$3,IF(AND(M147=$AN$5,$O148=9),$AN$3,IF(AND(M147=$AO$5,$O148=9),$AO$3,IF(AND(M147=$AP$5,$O148=9),$AJ$3,IF(AND(M147=$AE$4,$O148=12),$AE$3,IF(AND(M147=$AF$4,$O148=12),$AF$3,IF(AND(M147=$AG$4,$O148=12),$AG$3,IF(AND(M147=$AH$4,$O148=12),$AH$3,IF(AND(M147=$AI$4,$O148=12),$AI$3,IF(AND(M147=$AJ$4,$O148=12),$AJ$3,IF(AND(M147=$AK$4,$O148=12),$AK$3,IF(AND(M147=$AL$4,$O148=12),$AL$3,IF(AND(M147=$AM$4,$O148=12),$AM$3,IF(AND(M147=$AN$4,$O148=12),$AN$3,IF(AND(M147=$AO$4,$O148=12),$AO$3,IF(AND(M147=$AP$4,$O148=12),$AJ$3," "))))))))))))))))))))))))</f>
        <v>Year 11</v>
      </c>
      <c r="N146" s="104"/>
      <c r="O146" s="89"/>
      <c r="P146" s="89"/>
      <c r="Q146" s="154"/>
      <c r="R146" s="30" t="s">
        <v>8</v>
      </c>
      <c r="S146" s="101">
        <f>IF($B$106="Contract College",P$28,P$29)</f>
        <v>14750</v>
      </c>
      <c r="T146" s="101">
        <f>IF($B$106="Contract College",Q$28,Q$29)</f>
        <v>12400</v>
      </c>
      <c r="U146" s="101">
        <f>IF($B$106="Contract College",R$28,R$29)</f>
        <v>10400</v>
      </c>
      <c r="V146" s="101">
        <f t="shared" ref="V146:AE146" si="226">IF($B$106="Contract College",S$28,S$29)</f>
        <v>10400</v>
      </c>
      <c r="W146" s="101">
        <f t="shared" si="226"/>
        <v>10400</v>
      </c>
      <c r="X146" s="101">
        <f t="shared" si="226"/>
        <v>10400</v>
      </c>
      <c r="Y146" s="101">
        <f t="shared" si="226"/>
        <v>10400</v>
      </c>
      <c r="Z146" s="101">
        <f t="shared" si="226"/>
        <v>10400</v>
      </c>
      <c r="AA146" s="101">
        <f t="shared" si="226"/>
        <v>10400</v>
      </c>
      <c r="AB146" s="101">
        <f t="shared" si="226"/>
        <v>10400</v>
      </c>
      <c r="AC146" s="101">
        <f t="shared" si="226"/>
        <v>10400</v>
      </c>
      <c r="AD146" s="101">
        <f t="shared" si="226"/>
        <v>10400</v>
      </c>
      <c r="AE146" s="101">
        <f t="shared" si="226"/>
        <v>10400</v>
      </c>
      <c r="AF146" s="31">
        <v>0</v>
      </c>
      <c r="AG146" t="s">
        <v>212</v>
      </c>
    </row>
    <row r="147" spans="1:33" x14ac:dyDescent="0.35">
      <c r="A147" s="146" t="s">
        <v>102</v>
      </c>
      <c r="B147" s="55" t="str">
        <f t="shared" ref="B147:I147" si="227">+N$2</f>
        <v>FY2023</v>
      </c>
      <c r="C147" s="55" t="str">
        <f t="shared" si="227"/>
        <v>FY2024</v>
      </c>
      <c r="D147" s="55" t="str">
        <f t="shared" si="227"/>
        <v>FY2025</v>
      </c>
      <c r="E147" s="55" t="str">
        <f t="shared" si="227"/>
        <v>FY2026</v>
      </c>
      <c r="F147" s="55" t="str">
        <f t="shared" si="227"/>
        <v>FY2027</v>
      </c>
      <c r="G147" s="55" t="str">
        <f t="shared" si="227"/>
        <v>FY2028</v>
      </c>
      <c r="H147" s="55" t="str">
        <f t="shared" si="227"/>
        <v>FY2029</v>
      </c>
      <c r="I147" s="55" t="str">
        <f t="shared" si="227"/>
        <v>FY2030</v>
      </c>
      <c r="J147" s="55" t="str">
        <f t="shared" ref="J147" si="228">+V$2</f>
        <v>FY2031</v>
      </c>
      <c r="K147" s="55" t="str">
        <f t="shared" ref="K147:M147" si="229">+W$2</f>
        <v>FY2032</v>
      </c>
      <c r="L147" s="55" t="str">
        <f t="shared" si="229"/>
        <v>FY2033</v>
      </c>
      <c r="M147" s="55" t="str">
        <f t="shared" si="229"/>
        <v>FY2034</v>
      </c>
      <c r="N147" s="55"/>
      <c r="O147" s="32" t="s">
        <v>20</v>
      </c>
      <c r="P147" s="89" t="s">
        <v>64</v>
      </c>
      <c r="Q147" s="154"/>
      <c r="R147" s="30" t="s">
        <v>24</v>
      </c>
      <c r="S147" s="101">
        <f>+$P$30</f>
        <v>4046</v>
      </c>
      <c r="T147" s="101">
        <f>IF(ROUND(S147*(1+$AF147),0)=$Q$30,ROUND(S147*(1+$AF147),0),$Q$30)</f>
        <v>4451</v>
      </c>
      <c r="U147" s="101">
        <f t="shared" ref="U147:AE147" si="230">ROUND(T147*(1+$AF147),0)</f>
        <v>4896</v>
      </c>
      <c r="V147" s="101">
        <f t="shared" si="230"/>
        <v>5386</v>
      </c>
      <c r="W147" s="101">
        <f t="shared" si="230"/>
        <v>5925</v>
      </c>
      <c r="X147" s="101">
        <f t="shared" si="230"/>
        <v>6518</v>
      </c>
      <c r="Y147" s="101">
        <f t="shared" si="230"/>
        <v>7170</v>
      </c>
      <c r="Z147" s="101">
        <f t="shared" si="230"/>
        <v>7887</v>
      </c>
      <c r="AA147" s="101">
        <f t="shared" si="230"/>
        <v>8676</v>
      </c>
      <c r="AB147" s="101">
        <f t="shared" si="230"/>
        <v>9544</v>
      </c>
      <c r="AC147" s="101">
        <f t="shared" si="230"/>
        <v>10498</v>
      </c>
      <c r="AD147" s="101">
        <f t="shared" si="230"/>
        <v>11548</v>
      </c>
      <c r="AE147" s="101">
        <f t="shared" si="230"/>
        <v>12703</v>
      </c>
      <c r="AF147" s="31">
        <v>0.1</v>
      </c>
    </row>
    <row r="148" spans="1:33" x14ac:dyDescent="0.35">
      <c r="A148" s="147" t="str">
        <f>CONCATENATE("Base Salary: ",O148," month term")</f>
        <v>Base Salary: 12 month term</v>
      </c>
      <c r="B148" s="62">
        <f>PostdocMinRate</f>
        <v>56484</v>
      </c>
      <c r="C148" s="109">
        <f t="shared" ref="C148:M148" si="231">ROUND(+B148*(1+$P$148),0)</f>
        <v>58179</v>
      </c>
      <c r="D148" s="109">
        <f t="shared" si="231"/>
        <v>59924</v>
      </c>
      <c r="E148" s="109">
        <f t="shared" si="231"/>
        <v>61722</v>
      </c>
      <c r="F148" s="109">
        <f t="shared" si="231"/>
        <v>63574</v>
      </c>
      <c r="G148" s="109">
        <f t="shared" si="231"/>
        <v>65481</v>
      </c>
      <c r="H148" s="109">
        <f t="shared" si="231"/>
        <v>67445</v>
      </c>
      <c r="I148" s="109">
        <f t="shared" si="231"/>
        <v>69468</v>
      </c>
      <c r="J148" s="109">
        <f t="shared" si="231"/>
        <v>71552</v>
      </c>
      <c r="K148" s="109">
        <f t="shared" si="231"/>
        <v>73699</v>
      </c>
      <c r="L148" s="109">
        <f t="shared" si="231"/>
        <v>75910</v>
      </c>
      <c r="M148" s="109">
        <f t="shared" si="231"/>
        <v>78187</v>
      </c>
      <c r="N148" s="109"/>
      <c r="O148" s="319">
        <v>12</v>
      </c>
      <c r="P148" s="320">
        <v>0.03</v>
      </c>
      <c r="Q148" s="154"/>
      <c r="Y148" s="23"/>
    </row>
    <row r="149" spans="1:33" x14ac:dyDescent="0.35">
      <c r="A149" s="147" t="s">
        <v>44</v>
      </c>
      <c r="B149" s="313">
        <v>0</v>
      </c>
      <c r="C149" s="313">
        <v>0</v>
      </c>
      <c r="D149" s="313">
        <v>0</v>
      </c>
      <c r="E149" s="313">
        <v>0</v>
      </c>
      <c r="F149" s="313">
        <v>0</v>
      </c>
      <c r="G149" s="313">
        <v>0</v>
      </c>
      <c r="H149" s="313">
        <v>0</v>
      </c>
      <c r="I149" s="313">
        <v>0</v>
      </c>
      <c r="J149" s="313">
        <v>0</v>
      </c>
      <c r="K149" s="313">
        <v>0</v>
      </c>
      <c r="L149" s="313">
        <v>0</v>
      </c>
      <c r="M149" s="313">
        <v>0</v>
      </c>
      <c r="N149" s="402"/>
      <c r="O149" s="25"/>
      <c r="P149" s="25"/>
      <c r="Q149" s="154"/>
      <c r="Y149" s="23"/>
    </row>
    <row r="150" spans="1:33" x14ac:dyDescent="0.35">
      <c r="A150" s="147" t="str">
        <f>CONCATENATE("FTE for ",O148," Months")</f>
        <v>FTE for 12 Months</v>
      </c>
      <c r="B150" s="395">
        <f t="shared" ref="B150:L150" si="232">+B149/$O148</f>
        <v>0</v>
      </c>
      <c r="C150" s="395">
        <f t="shared" si="232"/>
        <v>0</v>
      </c>
      <c r="D150" s="395">
        <f t="shared" si="232"/>
        <v>0</v>
      </c>
      <c r="E150" s="395">
        <f t="shared" si="232"/>
        <v>0</v>
      </c>
      <c r="F150" s="395">
        <f t="shared" si="232"/>
        <v>0</v>
      </c>
      <c r="G150" s="395">
        <f t="shared" si="232"/>
        <v>0</v>
      </c>
      <c r="H150" s="395">
        <f t="shared" si="232"/>
        <v>0</v>
      </c>
      <c r="I150" s="395">
        <f t="shared" si="232"/>
        <v>0</v>
      </c>
      <c r="J150" s="395">
        <f t="shared" si="232"/>
        <v>0</v>
      </c>
      <c r="K150" s="395">
        <f t="shared" si="232"/>
        <v>0</v>
      </c>
      <c r="L150" s="395">
        <f t="shared" si="232"/>
        <v>0</v>
      </c>
      <c r="M150" s="395">
        <f t="shared" ref="M150" si="233">+M149/$O148</f>
        <v>0</v>
      </c>
      <c r="N150" s="403"/>
      <c r="O150" s="89"/>
      <c r="P150" s="89"/>
      <c r="Q150" s="154"/>
      <c r="S150" s="53" t="str">
        <f t="shared" ref="S150:S153" si="234">+S69</f>
        <v>Fall 2023</v>
      </c>
      <c r="T150" s="53" t="str">
        <f t="shared" ref="T150:AC150" si="235">+T69</f>
        <v>Fall 2024</v>
      </c>
      <c r="U150" s="53" t="str">
        <f t="shared" si="235"/>
        <v>Fall 2025</v>
      </c>
      <c r="V150" s="53" t="str">
        <f t="shared" si="235"/>
        <v>Fall 2026</v>
      </c>
      <c r="W150" s="53" t="str">
        <f t="shared" si="235"/>
        <v>Fall 2027</v>
      </c>
      <c r="X150" s="53" t="str">
        <f t="shared" si="235"/>
        <v>Fall 2028</v>
      </c>
      <c r="Y150" s="53" t="str">
        <f t="shared" si="235"/>
        <v>Fall 2029</v>
      </c>
      <c r="Z150" s="53" t="str">
        <f t="shared" si="235"/>
        <v>Fall 2030</v>
      </c>
      <c r="AA150" s="53" t="str">
        <f t="shared" si="235"/>
        <v>Fall 2031</v>
      </c>
      <c r="AB150" s="53" t="str">
        <f t="shared" si="235"/>
        <v>Fall 2032</v>
      </c>
      <c r="AC150" s="53" t="str">
        <f t="shared" si="235"/>
        <v>Fall 2033</v>
      </c>
      <c r="AD150" s="53" t="str">
        <f t="shared" ref="AD150" si="236">+AD69</f>
        <v>Fall 2034</v>
      </c>
    </row>
    <row r="151" spans="1:33" x14ac:dyDescent="0.35">
      <c r="A151" s="147" t="s">
        <v>21</v>
      </c>
      <c r="B151" s="110">
        <f t="shared" ref="B151:K151" si="237">ROUND((B148*B150*$Q$35)+(C148*B150*$Q$36),0)</f>
        <v>0</v>
      </c>
      <c r="C151" s="110">
        <f t="shared" si="237"/>
        <v>0</v>
      </c>
      <c r="D151" s="110">
        <f t="shared" si="237"/>
        <v>0</v>
      </c>
      <c r="E151" s="110">
        <f t="shared" si="237"/>
        <v>0</v>
      </c>
      <c r="F151" s="110">
        <f t="shared" si="237"/>
        <v>0</v>
      </c>
      <c r="G151" s="110">
        <f t="shared" si="237"/>
        <v>0</v>
      </c>
      <c r="H151" s="110">
        <f t="shared" si="237"/>
        <v>0</v>
      </c>
      <c r="I151" s="110">
        <f t="shared" si="237"/>
        <v>0</v>
      </c>
      <c r="J151" s="110">
        <f t="shared" si="237"/>
        <v>0</v>
      </c>
      <c r="K151" s="110">
        <f t="shared" si="237"/>
        <v>0</v>
      </c>
      <c r="L151" s="110">
        <f>ROUND((L148*L150*$Q$35)+(N148*L150*$Q$36),0)</f>
        <v>0</v>
      </c>
      <c r="M151" s="110">
        <f>ROUND((M148*M150*$Q$35)+(O148*M150*$Q$36),0)</f>
        <v>0</v>
      </c>
      <c r="N151" s="404"/>
      <c r="O151" s="89"/>
      <c r="P151" s="89"/>
      <c r="Q151" s="154"/>
      <c r="S151" s="53" t="str">
        <f t="shared" si="234"/>
        <v>Spring 2024</v>
      </c>
      <c r="T151" s="53" t="str">
        <f t="shared" ref="T151:AC151" si="238">+T70</f>
        <v>Spring 2025</v>
      </c>
      <c r="U151" s="53" t="str">
        <f t="shared" si="238"/>
        <v>Spring 2026</v>
      </c>
      <c r="V151" s="53" t="str">
        <f t="shared" si="238"/>
        <v>Spring 2027</v>
      </c>
      <c r="W151" s="53" t="str">
        <f t="shared" si="238"/>
        <v>Spring 2028</v>
      </c>
      <c r="X151" s="53" t="str">
        <f t="shared" si="238"/>
        <v>Spring 2029</v>
      </c>
      <c r="Y151" s="53" t="str">
        <f t="shared" si="238"/>
        <v>Spring 2030</v>
      </c>
      <c r="Z151" s="53" t="str">
        <f t="shared" si="238"/>
        <v>Spring 2031</v>
      </c>
      <c r="AA151" s="53" t="str">
        <f t="shared" si="238"/>
        <v>Spring 2032</v>
      </c>
      <c r="AB151" s="53" t="str">
        <f t="shared" si="238"/>
        <v>Spring 2033</v>
      </c>
      <c r="AC151" s="53" t="str">
        <f t="shared" si="238"/>
        <v>Spring 2034</v>
      </c>
      <c r="AD151" s="53" t="str">
        <f t="shared" ref="AD151" si="239">+AD70</f>
        <v>Spring 2035</v>
      </c>
    </row>
    <row r="152" spans="1:33" x14ac:dyDescent="0.35">
      <c r="A152" s="14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  <c r="Q152" s="155"/>
      <c r="S152" s="53" t="str">
        <f t="shared" si="234"/>
        <v>Summer 2024</v>
      </c>
      <c r="T152" s="53" t="str">
        <f t="shared" ref="T152:AC152" si="240">+T71</f>
        <v>Summer 2025</v>
      </c>
      <c r="U152" s="53" t="str">
        <f t="shared" si="240"/>
        <v>Summer 2026</v>
      </c>
      <c r="V152" s="53" t="str">
        <f t="shared" si="240"/>
        <v>Summer 2027</v>
      </c>
      <c r="W152" s="53" t="str">
        <f t="shared" si="240"/>
        <v>Summer 2028</v>
      </c>
      <c r="X152" s="53" t="str">
        <f t="shared" si="240"/>
        <v>Summer 2029</v>
      </c>
      <c r="Y152" s="53" t="str">
        <f t="shared" si="240"/>
        <v>Summer 2030</v>
      </c>
      <c r="Z152" s="53" t="str">
        <f t="shared" si="240"/>
        <v>Summer 2031</v>
      </c>
      <c r="AA152" s="53" t="str">
        <f t="shared" si="240"/>
        <v>Summer 2032</v>
      </c>
      <c r="AB152" s="53" t="str">
        <f t="shared" si="240"/>
        <v>Summer 2033</v>
      </c>
      <c r="AC152" s="53" t="str">
        <f t="shared" si="240"/>
        <v>Summer 2034</v>
      </c>
      <c r="AD152" s="53" t="str">
        <f t="shared" ref="AD152" si="241">+AD71</f>
        <v>Summer 2035</v>
      </c>
    </row>
    <row r="153" spans="1:33" x14ac:dyDescent="0.35">
      <c r="A153" s="147"/>
      <c r="B153" s="104" t="str">
        <f t="shared" ref="B153:L153" si="242">IF(AND(B154=$AE$5,$O155=9),$AE$3,IF(AND(B154=$AF$5,$O155=9),$AF$3,IF(AND(B154=$AG$5,$O155=9),$AG$3,IF(AND(B154=$AH$5,$O155=9),$AH$3,IF(AND(B154=$AI$5,$O155=9),$AI$3,IF(AND(B154=$AJ$5,$O155=9),$AJ$3,IF(AND(B154=$AK$5,$O155=9),$AK$3,IF(AND(B154=$AL$5,$O155=9),$AL$3,IF(AND(B154=$AM$5,$O155=9),$AM$3,IF(AND(B154=$AN$5,$O155=9),$AN$3,IF(AND(B154=$AO$5,$O155=9),$AO$3,IF(AND(B154=$AP$5,$O155=9),$AJ$3,IF(AND(B154=$AE$4,$O155=12),$AE$3,IF(AND(B154=$AF$4,$O155=12),$AF$3,IF(AND(B154=$AG$4,$O155=12),$AG$3,IF(AND(B154=$AH$4,$O155=12),$AH$3,IF(AND(B154=$AI$4,$O155=12),$AI$3,IF(AND(B154=$AJ$4,$O155=12),$AJ$3,IF(AND(B154=$AK$4,$O155=12),$AK$3,IF(AND(B154=$AL$4,$O155=12),$AL$3,IF(AND(B154=$AM$4,$O155=12),$AM$3,IF(AND(B154=$AN$4,$O155=12),$AN$3,IF(AND(B154=$AO$4,$O155=12),$AO$3,IF(AND(B154=$AP$4,$O155=12),$AJ$3," "))))))))))))))))))))))))</f>
        <v xml:space="preserve"> </v>
      </c>
      <c r="C153" s="104" t="str">
        <f t="shared" si="242"/>
        <v>Year 1</v>
      </c>
      <c r="D153" s="104" t="str">
        <f t="shared" si="242"/>
        <v>Year 2</v>
      </c>
      <c r="E153" s="104" t="str">
        <f t="shared" si="242"/>
        <v>Year 3</v>
      </c>
      <c r="F153" s="104" t="str">
        <f t="shared" si="242"/>
        <v>Year 4</v>
      </c>
      <c r="G153" s="104" t="str">
        <f t="shared" si="242"/>
        <v>Year 5</v>
      </c>
      <c r="H153" s="104" t="str">
        <f t="shared" si="242"/>
        <v>Year 6</v>
      </c>
      <c r="I153" s="104" t="str">
        <f t="shared" si="242"/>
        <v>Year 7</v>
      </c>
      <c r="J153" s="104" t="str">
        <f t="shared" si="242"/>
        <v>Year 8</v>
      </c>
      <c r="K153" s="104" t="str">
        <f t="shared" si="242"/>
        <v>Year 9</v>
      </c>
      <c r="L153" s="104" t="str">
        <f t="shared" si="242"/>
        <v>Year 10</v>
      </c>
      <c r="M153" s="104" t="str">
        <f t="shared" ref="M153" si="243">IF(AND(M154=$AE$5,$O155=9),$AE$3,IF(AND(M154=$AF$5,$O155=9),$AF$3,IF(AND(M154=$AG$5,$O155=9),$AG$3,IF(AND(M154=$AH$5,$O155=9),$AH$3,IF(AND(M154=$AI$5,$O155=9),$AI$3,IF(AND(M154=$AJ$5,$O155=9),$AJ$3,IF(AND(M154=$AK$5,$O155=9),$AK$3,IF(AND(M154=$AL$5,$O155=9),$AL$3,IF(AND(M154=$AM$5,$O155=9),$AM$3,IF(AND(M154=$AN$5,$O155=9),$AN$3,IF(AND(M154=$AO$5,$O155=9),$AO$3,IF(AND(M154=$AP$5,$O155=9),$AJ$3,IF(AND(M154=$AE$4,$O155=12),$AE$3,IF(AND(M154=$AF$4,$O155=12),$AF$3,IF(AND(M154=$AG$4,$O155=12),$AG$3,IF(AND(M154=$AH$4,$O155=12),$AH$3,IF(AND(M154=$AI$4,$O155=12),$AI$3,IF(AND(M154=$AJ$4,$O155=12),$AJ$3,IF(AND(M154=$AK$4,$O155=12),$AK$3,IF(AND(M154=$AL$4,$O155=12),$AL$3,IF(AND(M154=$AM$4,$O155=12),$AM$3,IF(AND(M154=$AN$4,$O155=12),$AN$3,IF(AND(M154=$AO$4,$O155=12),$AO$3,IF(AND(M154=$AP$4,$O155=12),$AJ$3," "))))))))))))))))))))))))</f>
        <v>Year 11</v>
      </c>
      <c r="N153" s="104"/>
      <c r="O153" s="26"/>
      <c r="P153" s="26"/>
      <c r="Q153" s="155"/>
      <c r="S153" s="34" t="str">
        <f t="shared" si="234"/>
        <v>FY2024</v>
      </c>
      <c r="T153" s="34" t="str">
        <f t="shared" ref="T153:AC153" si="244">+T72</f>
        <v>FY2025</v>
      </c>
      <c r="U153" s="34" t="str">
        <f t="shared" si="244"/>
        <v>FY2026</v>
      </c>
      <c r="V153" s="34" t="str">
        <f t="shared" si="244"/>
        <v>FY2027</v>
      </c>
      <c r="W153" s="34" t="str">
        <f t="shared" si="244"/>
        <v>FY2028</v>
      </c>
      <c r="X153" s="34" t="str">
        <f t="shared" si="244"/>
        <v>FY2029</v>
      </c>
      <c r="Y153" s="34" t="str">
        <f t="shared" si="244"/>
        <v>FY2030</v>
      </c>
      <c r="Z153" s="34" t="str">
        <f t="shared" si="244"/>
        <v>FY2031</v>
      </c>
      <c r="AA153" s="34" t="str">
        <f t="shared" si="244"/>
        <v>FY2032</v>
      </c>
      <c r="AB153" s="34" t="str">
        <f t="shared" si="244"/>
        <v>FY2033</v>
      </c>
      <c r="AC153" s="34" t="str">
        <f t="shared" si="244"/>
        <v>FY2034</v>
      </c>
      <c r="AD153" s="34" t="str">
        <f t="shared" ref="AD153" si="245">+AD72</f>
        <v>FY2035</v>
      </c>
    </row>
    <row r="154" spans="1:33" ht="15" thickBot="1" x14ac:dyDescent="0.4">
      <c r="A154" s="146" t="s">
        <v>74</v>
      </c>
      <c r="B154" s="55" t="str">
        <f t="shared" ref="B154:I154" si="246">+N$2</f>
        <v>FY2023</v>
      </c>
      <c r="C154" s="55" t="str">
        <f t="shared" si="246"/>
        <v>FY2024</v>
      </c>
      <c r="D154" s="55" t="str">
        <f t="shared" si="246"/>
        <v>FY2025</v>
      </c>
      <c r="E154" s="55" t="str">
        <f t="shared" si="246"/>
        <v>FY2026</v>
      </c>
      <c r="F154" s="55" t="str">
        <f t="shared" si="246"/>
        <v>FY2027</v>
      </c>
      <c r="G154" s="55" t="str">
        <f t="shared" si="246"/>
        <v>FY2028</v>
      </c>
      <c r="H154" s="55" t="str">
        <f t="shared" si="246"/>
        <v>FY2029</v>
      </c>
      <c r="I154" s="55" t="str">
        <f t="shared" si="246"/>
        <v>FY2030</v>
      </c>
      <c r="J154" s="55" t="str">
        <f t="shared" ref="J154" si="247">+V$2</f>
        <v>FY2031</v>
      </c>
      <c r="K154" s="55" t="str">
        <f t="shared" ref="K154:M154" si="248">+W$2</f>
        <v>FY2032</v>
      </c>
      <c r="L154" s="55" t="str">
        <f t="shared" si="248"/>
        <v>FY2033</v>
      </c>
      <c r="M154" s="55" t="str">
        <f t="shared" si="248"/>
        <v>FY2034</v>
      </c>
      <c r="N154" s="55"/>
      <c r="O154" s="32" t="s">
        <v>20</v>
      </c>
      <c r="P154" s="89" t="s">
        <v>64</v>
      </c>
      <c r="Q154" s="154"/>
      <c r="R154" s="35" t="s">
        <v>71</v>
      </c>
      <c r="S154" s="50" t="s">
        <v>1</v>
      </c>
      <c r="T154" s="51" t="s">
        <v>2</v>
      </c>
      <c r="U154" s="51" t="s">
        <v>3</v>
      </c>
      <c r="V154" s="51" t="s">
        <v>39</v>
      </c>
      <c r="W154" s="51" t="s">
        <v>45</v>
      </c>
      <c r="X154" s="51" t="s">
        <v>185</v>
      </c>
      <c r="Y154" s="51" t="s">
        <v>186</v>
      </c>
      <c r="Z154" s="51" t="s">
        <v>187</v>
      </c>
      <c r="AA154" s="51" t="s">
        <v>188</v>
      </c>
      <c r="AB154" s="51" t="s">
        <v>189</v>
      </c>
      <c r="AC154" s="51" t="s">
        <v>190</v>
      </c>
      <c r="AD154" s="51" t="s">
        <v>191</v>
      </c>
    </row>
    <row r="155" spans="1:33" x14ac:dyDescent="0.35">
      <c r="A155" s="147" t="str">
        <f>CONCATENATE("Base Salary: ",O155," month term")</f>
        <v>Base Salary: 12 month term</v>
      </c>
      <c r="B155" s="314">
        <v>47476</v>
      </c>
      <c r="C155" s="109">
        <f t="shared" ref="C155:M155" si="249">ROUND(+B155*(1+$P$155),0)</f>
        <v>48900</v>
      </c>
      <c r="D155" s="109">
        <f t="shared" si="249"/>
        <v>50367</v>
      </c>
      <c r="E155" s="109">
        <f t="shared" si="249"/>
        <v>51878</v>
      </c>
      <c r="F155" s="109">
        <f t="shared" si="249"/>
        <v>53434</v>
      </c>
      <c r="G155" s="109">
        <f t="shared" si="249"/>
        <v>55037</v>
      </c>
      <c r="H155" s="109">
        <f t="shared" si="249"/>
        <v>56688</v>
      </c>
      <c r="I155" s="109">
        <f t="shared" si="249"/>
        <v>58389</v>
      </c>
      <c r="J155" s="109">
        <f t="shared" si="249"/>
        <v>60141</v>
      </c>
      <c r="K155" s="109">
        <f t="shared" si="249"/>
        <v>61945</v>
      </c>
      <c r="L155" s="109">
        <f t="shared" si="249"/>
        <v>63803</v>
      </c>
      <c r="M155" s="109">
        <f t="shared" si="249"/>
        <v>65717</v>
      </c>
      <c r="N155" s="109"/>
      <c r="O155" s="319">
        <v>12</v>
      </c>
      <c r="P155" s="312">
        <v>0.03</v>
      </c>
      <c r="Q155" s="156"/>
      <c r="R155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155" s="60">
        <f t="shared" ref="S155:X157" si="250">+B161</f>
        <v>0</v>
      </c>
      <c r="T155" s="60">
        <f t="shared" si="250"/>
        <v>0</v>
      </c>
      <c r="U155" s="60">
        <f t="shared" si="250"/>
        <v>0</v>
      </c>
      <c r="V155" s="60">
        <f t="shared" si="250"/>
        <v>0</v>
      </c>
      <c r="W155" s="60">
        <f t="shared" si="250"/>
        <v>0</v>
      </c>
      <c r="X155" s="60">
        <f t="shared" si="250"/>
        <v>0</v>
      </c>
      <c r="Y155" s="60">
        <f t="shared" ref="Y155:Y157" si="251">+H161</f>
        <v>0</v>
      </c>
      <c r="Z155" s="60">
        <f t="shared" ref="Z155:Z157" si="252">+I161</f>
        <v>0</v>
      </c>
      <c r="AA155" s="60">
        <f t="shared" ref="AA155:AA157" si="253">+J161</f>
        <v>0</v>
      </c>
      <c r="AB155" s="60">
        <f t="shared" ref="AB155:AB157" si="254">+K161</f>
        <v>0</v>
      </c>
      <c r="AC155" s="60">
        <f t="shared" ref="AC155:AD157" si="255">+L161</f>
        <v>0</v>
      </c>
      <c r="AD155" s="60">
        <f t="shared" si="255"/>
        <v>0</v>
      </c>
    </row>
    <row r="156" spans="1:33" x14ac:dyDescent="0.35">
      <c r="A156" s="147" t="s">
        <v>44</v>
      </c>
      <c r="B156" s="313">
        <v>0</v>
      </c>
      <c r="C156" s="313">
        <v>0</v>
      </c>
      <c r="D156" s="313">
        <v>0</v>
      </c>
      <c r="E156" s="313">
        <v>0</v>
      </c>
      <c r="F156" s="313">
        <v>0</v>
      </c>
      <c r="G156" s="313">
        <v>0</v>
      </c>
      <c r="H156" s="313">
        <v>0</v>
      </c>
      <c r="I156" s="313">
        <v>0</v>
      </c>
      <c r="J156" s="313">
        <v>0</v>
      </c>
      <c r="K156" s="313">
        <v>0</v>
      </c>
      <c r="L156" s="313">
        <v>0</v>
      </c>
      <c r="M156" s="313">
        <v>0</v>
      </c>
      <c r="N156" s="402"/>
      <c r="O156" s="25"/>
      <c r="P156" s="25"/>
      <c r="Q156" s="147"/>
      <c r="R156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156" s="60">
        <f t="shared" si="250"/>
        <v>0</v>
      </c>
      <c r="T156" s="60">
        <f t="shared" si="250"/>
        <v>0</v>
      </c>
      <c r="U156" s="60">
        <f t="shared" si="250"/>
        <v>0</v>
      </c>
      <c r="V156" s="60">
        <f t="shared" si="250"/>
        <v>0</v>
      </c>
      <c r="W156" s="60">
        <f t="shared" si="250"/>
        <v>0</v>
      </c>
      <c r="X156" s="60">
        <f t="shared" si="250"/>
        <v>0</v>
      </c>
      <c r="Y156" s="60">
        <f t="shared" si="251"/>
        <v>0</v>
      </c>
      <c r="Z156" s="60">
        <f t="shared" si="252"/>
        <v>0</v>
      </c>
      <c r="AA156" s="60">
        <f t="shared" si="253"/>
        <v>0</v>
      </c>
      <c r="AB156" s="60">
        <f t="shared" si="254"/>
        <v>0</v>
      </c>
      <c r="AC156" s="60">
        <f t="shared" si="255"/>
        <v>0</v>
      </c>
      <c r="AD156" s="60">
        <f t="shared" si="255"/>
        <v>0</v>
      </c>
    </row>
    <row r="157" spans="1:33" x14ac:dyDescent="0.35">
      <c r="A157" s="147" t="str">
        <f>CONCATENATE("FTE for ",O155," Months")</f>
        <v>FTE for 12 Months</v>
      </c>
      <c r="B157" s="395">
        <f t="shared" ref="B157:L157" si="256">+B156/$O155</f>
        <v>0</v>
      </c>
      <c r="C157" s="395">
        <f t="shared" si="256"/>
        <v>0</v>
      </c>
      <c r="D157" s="395">
        <f t="shared" si="256"/>
        <v>0</v>
      </c>
      <c r="E157" s="395">
        <f t="shared" si="256"/>
        <v>0</v>
      </c>
      <c r="F157" s="395">
        <f t="shared" si="256"/>
        <v>0</v>
      </c>
      <c r="G157" s="395">
        <f t="shared" si="256"/>
        <v>0</v>
      </c>
      <c r="H157" s="395">
        <f t="shared" si="256"/>
        <v>0</v>
      </c>
      <c r="I157" s="395">
        <f t="shared" si="256"/>
        <v>0</v>
      </c>
      <c r="J157" s="395">
        <f t="shared" si="256"/>
        <v>0</v>
      </c>
      <c r="K157" s="395">
        <f t="shared" si="256"/>
        <v>0</v>
      </c>
      <c r="L157" s="395">
        <f t="shared" si="256"/>
        <v>0</v>
      </c>
      <c r="M157" s="395">
        <f t="shared" ref="M157" si="257">+M156/$O155</f>
        <v>0</v>
      </c>
      <c r="N157" s="403"/>
      <c r="O157" s="89"/>
      <c r="P157" s="89"/>
      <c r="Q157" s="154"/>
      <c r="R157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157" s="60">
        <f t="shared" si="250"/>
        <v>0</v>
      </c>
      <c r="T157" s="60">
        <f t="shared" si="250"/>
        <v>0</v>
      </c>
      <c r="U157" s="60">
        <f t="shared" si="250"/>
        <v>0</v>
      </c>
      <c r="V157" s="60">
        <f t="shared" si="250"/>
        <v>0</v>
      </c>
      <c r="W157" s="60">
        <f t="shared" si="250"/>
        <v>0</v>
      </c>
      <c r="X157" s="60">
        <f t="shared" si="250"/>
        <v>0</v>
      </c>
      <c r="Y157" s="60">
        <f t="shared" si="251"/>
        <v>0</v>
      </c>
      <c r="Z157" s="60">
        <f t="shared" si="252"/>
        <v>0</v>
      </c>
      <c r="AA157" s="60">
        <f t="shared" si="253"/>
        <v>0</v>
      </c>
      <c r="AB157" s="60">
        <f t="shared" si="254"/>
        <v>0</v>
      </c>
      <c r="AC157" s="60">
        <f t="shared" si="255"/>
        <v>0</v>
      </c>
      <c r="AD157" s="60">
        <f t="shared" si="255"/>
        <v>0</v>
      </c>
    </row>
    <row r="158" spans="1:33" x14ac:dyDescent="0.35">
      <c r="A158" s="147" t="s">
        <v>21</v>
      </c>
      <c r="B158" s="110">
        <f t="shared" ref="B158:K158" si="258">ROUND((B155*B157*$Q$35)+(C155*B157*$Q$36),0)</f>
        <v>0</v>
      </c>
      <c r="C158" s="110">
        <f t="shared" si="258"/>
        <v>0</v>
      </c>
      <c r="D158" s="110">
        <f t="shared" si="258"/>
        <v>0</v>
      </c>
      <c r="E158" s="110">
        <f t="shared" si="258"/>
        <v>0</v>
      </c>
      <c r="F158" s="110">
        <f t="shared" si="258"/>
        <v>0</v>
      </c>
      <c r="G158" s="110">
        <f t="shared" si="258"/>
        <v>0</v>
      </c>
      <c r="H158" s="110">
        <f t="shared" si="258"/>
        <v>0</v>
      </c>
      <c r="I158" s="110">
        <f t="shared" si="258"/>
        <v>0</v>
      </c>
      <c r="J158" s="110">
        <f t="shared" si="258"/>
        <v>0</v>
      </c>
      <c r="K158" s="110">
        <f t="shared" si="258"/>
        <v>0</v>
      </c>
      <c r="L158" s="110">
        <f>ROUND((L155*L157*$Q$35)+(N155*L157*$Q$36),0)</f>
        <v>0</v>
      </c>
      <c r="M158" s="110">
        <f>ROUND((M155*M157*$Q$35)+(O155*M157*$Q$36),0)</f>
        <v>0</v>
      </c>
      <c r="N158" s="404"/>
      <c r="O158" s="89"/>
      <c r="P158" s="89"/>
      <c r="Q158" s="154"/>
      <c r="R158" s="25"/>
      <c r="S158" s="33"/>
      <c r="T158" s="33"/>
      <c r="U158" s="33"/>
      <c r="V158" s="33"/>
      <c r="W158" s="33"/>
      <c r="X158" s="33"/>
      <c r="Y158" s="23"/>
    </row>
    <row r="159" spans="1:33" x14ac:dyDescent="0.35">
      <c r="A159" s="147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89"/>
      <c r="P159" s="89"/>
      <c r="Q159" s="154"/>
      <c r="R159" s="25"/>
      <c r="S159" s="33"/>
      <c r="T159" s="33"/>
      <c r="U159" s="33"/>
      <c r="V159" s="33"/>
      <c r="W159" s="33"/>
      <c r="X159" s="33"/>
      <c r="Y159" s="23"/>
    </row>
    <row r="160" spans="1:33" ht="15" thickBot="1" x14ac:dyDescent="0.4">
      <c r="A160" s="146" t="s">
        <v>70</v>
      </c>
      <c r="B160" s="24" t="s">
        <v>1</v>
      </c>
      <c r="C160" s="24" t="s">
        <v>2</v>
      </c>
      <c r="D160" s="24" t="s">
        <v>3</v>
      </c>
      <c r="E160" s="24" t="s">
        <v>39</v>
      </c>
      <c r="F160" s="24" t="s">
        <v>45</v>
      </c>
      <c r="G160" s="24" t="s">
        <v>185</v>
      </c>
      <c r="H160" s="24" t="s">
        <v>186</v>
      </c>
      <c r="I160" s="24" t="s">
        <v>187</v>
      </c>
      <c r="J160" s="24" t="s">
        <v>188</v>
      </c>
      <c r="K160" s="24" t="s">
        <v>189</v>
      </c>
      <c r="L160" s="23"/>
      <c r="M160" s="23"/>
      <c r="N160" s="23"/>
      <c r="O160" s="89"/>
      <c r="P160" s="89"/>
      <c r="Q160" s="154"/>
      <c r="R160" s="427" t="s">
        <v>105</v>
      </c>
      <c r="S160" s="50" t="s">
        <v>1</v>
      </c>
      <c r="T160" s="51" t="s">
        <v>2</v>
      </c>
      <c r="U160" s="51" t="s">
        <v>3</v>
      </c>
      <c r="V160" s="51" t="s">
        <v>39</v>
      </c>
      <c r="W160" s="51" t="s">
        <v>45</v>
      </c>
      <c r="X160" s="51" t="s">
        <v>185</v>
      </c>
      <c r="Y160" s="51" t="s">
        <v>186</v>
      </c>
      <c r="Z160" s="51" t="s">
        <v>187</v>
      </c>
      <c r="AA160" s="51" t="s">
        <v>188</v>
      </c>
      <c r="AB160" s="51" t="s">
        <v>189</v>
      </c>
    </row>
    <row r="161" spans="1:28" x14ac:dyDescent="0.35">
      <c r="A161" s="147" t="str">
        <f>+R155</f>
        <v>Number of Students (Fall)</v>
      </c>
      <c r="B161" s="315">
        <v>0</v>
      </c>
      <c r="C161" s="315">
        <v>0</v>
      </c>
      <c r="D161" s="315">
        <v>0</v>
      </c>
      <c r="E161" s="315">
        <v>0</v>
      </c>
      <c r="F161" s="315">
        <v>0</v>
      </c>
      <c r="G161" s="315">
        <v>0</v>
      </c>
      <c r="H161" s="315">
        <v>0</v>
      </c>
      <c r="I161" s="315">
        <v>0</v>
      </c>
      <c r="J161" s="315">
        <v>0</v>
      </c>
      <c r="K161" s="315">
        <v>0</v>
      </c>
      <c r="L161" s="23"/>
      <c r="M161" s="23"/>
      <c r="N161" s="23"/>
      <c r="O161" s="89"/>
      <c r="P161" s="89"/>
      <c r="Q161" s="154"/>
      <c r="R161" s="36" t="s">
        <v>22</v>
      </c>
      <c r="S161" s="37">
        <f t="shared" ref="S161:AB161" si="259">SUM(S171:S173)</f>
        <v>0</v>
      </c>
      <c r="T161" s="37">
        <f t="shared" si="259"/>
        <v>0</v>
      </c>
      <c r="U161" s="37">
        <f t="shared" si="259"/>
        <v>0</v>
      </c>
      <c r="V161" s="37">
        <f t="shared" si="259"/>
        <v>0</v>
      </c>
      <c r="W161" s="37">
        <f t="shared" si="259"/>
        <v>0</v>
      </c>
      <c r="X161" s="37">
        <f t="shared" si="259"/>
        <v>0</v>
      </c>
      <c r="Y161" s="37">
        <f t="shared" si="259"/>
        <v>0</v>
      </c>
      <c r="Z161" s="37">
        <f t="shared" si="259"/>
        <v>0</v>
      </c>
      <c r="AA161" s="37">
        <f t="shared" si="259"/>
        <v>0</v>
      </c>
      <c r="AB161" s="37">
        <f t="shared" si="259"/>
        <v>0</v>
      </c>
    </row>
    <row r="162" spans="1:28" x14ac:dyDescent="0.35">
      <c r="A162" s="147" t="str">
        <f>+R156</f>
        <v>Number of Students (Spring)</v>
      </c>
      <c r="B162" s="316">
        <f t="shared" ref="B162:G162" si="260">+B161</f>
        <v>0</v>
      </c>
      <c r="C162" s="316">
        <f t="shared" si="260"/>
        <v>0</v>
      </c>
      <c r="D162" s="316">
        <f t="shared" si="260"/>
        <v>0</v>
      </c>
      <c r="E162" s="316">
        <f t="shared" si="260"/>
        <v>0</v>
      </c>
      <c r="F162" s="316">
        <f t="shared" si="260"/>
        <v>0</v>
      </c>
      <c r="G162" s="316">
        <f t="shared" si="260"/>
        <v>0</v>
      </c>
      <c r="H162" s="316">
        <f t="shared" ref="H162" si="261">+H161</f>
        <v>0</v>
      </c>
      <c r="I162" s="316">
        <f t="shared" ref="I162" si="262">+I161</f>
        <v>0</v>
      </c>
      <c r="J162" s="316">
        <f t="shared" ref="J162" si="263">+J161</f>
        <v>0</v>
      </c>
      <c r="K162" s="316">
        <f t="shared" ref="K162" si="264">+K161</f>
        <v>0</v>
      </c>
      <c r="L162" s="23"/>
      <c r="M162" s="23"/>
      <c r="N162" s="23"/>
      <c r="O162" s="89"/>
      <c r="P162" s="89"/>
      <c r="Q162" s="154"/>
      <c r="R162" s="36" t="s">
        <v>8</v>
      </c>
      <c r="S162" s="37">
        <f t="shared" ref="S162:AB162" si="265">SUM(S174:S176)</f>
        <v>0</v>
      </c>
      <c r="T162" s="37">
        <f t="shared" si="265"/>
        <v>0</v>
      </c>
      <c r="U162" s="37">
        <f t="shared" si="265"/>
        <v>0</v>
      </c>
      <c r="V162" s="37">
        <f t="shared" si="265"/>
        <v>0</v>
      </c>
      <c r="W162" s="37">
        <f t="shared" si="265"/>
        <v>0</v>
      </c>
      <c r="X162" s="37">
        <f t="shared" si="265"/>
        <v>0</v>
      </c>
      <c r="Y162" s="37">
        <f t="shared" si="265"/>
        <v>0</v>
      </c>
      <c r="Z162" s="37">
        <f t="shared" si="265"/>
        <v>0</v>
      </c>
      <c r="AA162" s="37">
        <f t="shared" si="265"/>
        <v>0</v>
      </c>
      <c r="AB162" s="37">
        <f t="shared" si="265"/>
        <v>0</v>
      </c>
    </row>
    <row r="163" spans="1:28" x14ac:dyDescent="0.35">
      <c r="A163" s="147" t="str">
        <f>+R157</f>
        <v>Number of Students (Summer)</v>
      </c>
      <c r="B163" s="316">
        <f t="shared" ref="B163:G163" si="266">+B161</f>
        <v>0</v>
      </c>
      <c r="C163" s="316">
        <f t="shared" si="266"/>
        <v>0</v>
      </c>
      <c r="D163" s="316">
        <f t="shared" si="266"/>
        <v>0</v>
      </c>
      <c r="E163" s="316">
        <f t="shared" si="266"/>
        <v>0</v>
      </c>
      <c r="F163" s="316">
        <f t="shared" si="266"/>
        <v>0</v>
      </c>
      <c r="G163" s="316">
        <f t="shared" si="266"/>
        <v>0</v>
      </c>
      <c r="H163" s="316">
        <f t="shared" ref="H163:K163" si="267">+H161</f>
        <v>0</v>
      </c>
      <c r="I163" s="316">
        <f t="shared" si="267"/>
        <v>0</v>
      </c>
      <c r="J163" s="316">
        <f t="shared" si="267"/>
        <v>0</v>
      </c>
      <c r="K163" s="316">
        <f t="shared" si="267"/>
        <v>0</v>
      </c>
      <c r="L163" s="23"/>
      <c r="M163" s="23"/>
      <c r="N163" s="23"/>
      <c r="O163" s="89"/>
      <c r="P163" s="89"/>
      <c r="Q163" s="154"/>
      <c r="R163" s="36" t="s">
        <v>9</v>
      </c>
      <c r="S163" s="37">
        <f t="shared" ref="S163:AB163" si="268">SUM(S177:S179)</f>
        <v>0</v>
      </c>
      <c r="T163" s="37">
        <f t="shared" si="268"/>
        <v>0</v>
      </c>
      <c r="U163" s="37">
        <f t="shared" si="268"/>
        <v>0</v>
      </c>
      <c r="V163" s="37">
        <f t="shared" si="268"/>
        <v>0</v>
      </c>
      <c r="W163" s="37">
        <f t="shared" si="268"/>
        <v>0</v>
      </c>
      <c r="X163" s="37">
        <f t="shared" si="268"/>
        <v>0</v>
      </c>
      <c r="Y163" s="37">
        <f t="shared" si="268"/>
        <v>0</v>
      </c>
      <c r="Z163" s="37">
        <f t="shared" si="268"/>
        <v>0</v>
      </c>
      <c r="AA163" s="37">
        <f t="shared" si="268"/>
        <v>0</v>
      </c>
      <c r="AB163" s="37">
        <f t="shared" si="268"/>
        <v>0</v>
      </c>
    </row>
    <row r="164" spans="1:28" ht="15" thickBot="1" x14ac:dyDescent="0.4">
      <c r="A164" s="147"/>
      <c r="B164" s="63"/>
      <c r="C164" s="63"/>
      <c r="D164" s="63"/>
      <c r="E164" s="63"/>
      <c r="F164" s="63"/>
      <c r="G164" s="63"/>
      <c r="H164" s="23"/>
      <c r="I164" s="23"/>
      <c r="J164" s="23"/>
      <c r="K164" s="23"/>
      <c r="L164" s="23"/>
      <c r="M164" s="23"/>
      <c r="N164" s="23"/>
      <c r="O164" s="89"/>
      <c r="P164" s="89"/>
      <c r="Q164" s="154"/>
      <c r="R164" s="38" t="s">
        <v>31</v>
      </c>
      <c r="S164" s="39">
        <f t="shared" ref="S164:V164" si="269">SUM(S161:S163)</f>
        <v>0</v>
      </c>
      <c r="T164" s="39">
        <f t="shared" si="269"/>
        <v>0</v>
      </c>
      <c r="U164" s="39">
        <f t="shared" si="269"/>
        <v>0</v>
      </c>
      <c r="V164" s="39">
        <f t="shared" si="269"/>
        <v>0</v>
      </c>
      <c r="W164" s="39">
        <f t="shared" ref="W164" si="270">SUM(W161:W163)</f>
        <v>0</v>
      </c>
      <c r="X164" s="39">
        <f t="shared" ref="X164" si="271">SUM(X161:X163)</f>
        <v>0</v>
      </c>
      <c r="Y164" s="39">
        <f t="shared" ref="Y164" si="272">SUM(Y161:Y163)</f>
        <v>0</v>
      </c>
      <c r="Z164" s="39">
        <f t="shared" ref="Z164" si="273">SUM(Z161:Z163)</f>
        <v>0</v>
      </c>
      <c r="AA164" s="39">
        <f t="shared" ref="AA164" si="274">SUM(AA161:AA163)</f>
        <v>0</v>
      </c>
      <c r="AB164" s="39">
        <f t="shared" ref="AB164" si="275">SUM(AB161:AB163)</f>
        <v>0</v>
      </c>
    </row>
    <row r="165" spans="1:28" x14ac:dyDescent="0.35">
      <c r="A165" s="146" t="s">
        <v>73</v>
      </c>
      <c r="B165" s="24" t="s">
        <v>1</v>
      </c>
      <c r="C165" s="24" t="s">
        <v>2</v>
      </c>
      <c r="D165" s="24" t="s">
        <v>3</v>
      </c>
      <c r="E165" s="24" t="s">
        <v>39</v>
      </c>
      <c r="F165" s="24" t="s">
        <v>45</v>
      </c>
      <c r="G165" s="24" t="s">
        <v>185</v>
      </c>
      <c r="H165" s="24" t="s">
        <v>186</v>
      </c>
      <c r="I165" s="24" t="s">
        <v>187</v>
      </c>
      <c r="J165" s="24" t="s">
        <v>188</v>
      </c>
      <c r="K165" s="24" t="s">
        <v>189</v>
      </c>
      <c r="Q165" s="149"/>
      <c r="S165" s="116"/>
      <c r="Y165" s="23"/>
    </row>
    <row r="166" spans="1:28" x14ac:dyDescent="0.35">
      <c r="A166" s="147" t="s">
        <v>69</v>
      </c>
      <c r="B166" s="313">
        <f>Minimum_Undergraduate_rate</f>
        <v>14.2</v>
      </c>
      <c r="C166" s="313">
        <f>+B166</f>
        <v>14.2</v>
      </c>
      <c r="D166" s="313">
        <f t="shared" ref="D166" si="276">+C166</f>
        <v>14.2</v>
      </c>
      <c r="E166" s="313">
        <f t="shared" ref="E166" si="277">+D166</f>
        <v>14.2</v>
      </c>
      <c r="F166" s="313">
        <f t="shared" ref="F166:G166" si="278">+E166</f>
        <v>14.2</v>
      </c>
      <c r="G166" s="313">
        <f t="shared" si="278"/>
        <v>14.2</v>
      </c>
      <c r="H166" s="313">
        <f t="shared" ref="H166" si="279">+G166</f>
        <v>14.2</v>
      </c>
      <c r="I166" s="313">
        <f t="shared" ref="I166" si="280">+H166</f>
        <v>14.2</v>
      </c>
      <c r="J166" s="313">
        <f t="shared" ref="J166" si="281">+I166</f>
        <v>14.2</v>
      </c>
      <c r="K166" s="313">
        <f t="shared" ref="K166" si="282">+J166</f>
        <v>14.2</v>
      </c>
      <c r="Q166" s="149"/>
      <c r="Y166" s="23"/>
    </row>
    <row r="167" spans="1:28" x14ac:dyDescent="0.35">
      <c r="A167" s="147" t="s">
        <v>60</v>
      </c>
      <c r="B167" s="317">
        <v>0</v>
      </c>
      <c r="C167" s="317">
        <v>0</v>
      </c>
      <c r="D167" s="317">
        <v>0</v>
      </c>
      <c r="E167" s="317">
        <v>0</v>
      </c>
      <c r="F167" s="317">
        <v>0</v>
      </c>
      <c r="G167" s="317">
        <v>0</v>
      </c>
      <c r="H167" s="317">
        <v>0</v>
      </c>
      <c r="I167" s="317">
        <v>0</v>
      </c>
      <c r="J167" s="317">
        <v>0</v>
      </c>
      <c r="K167" s="317">
        <v>0</v>
      </c>
      <c r="Q167" s="149"/>
      <c r="R167" s="117"/>
      <c r="S167" s="53" t="str">
        <f>CONCATENATE("FY",$AD$3)</f>
        <v>FY2024</v>
      </c>
      <c r="T167" s="53" t="str">
        <f>CONCATENATE("FY",$AD$3+1)</f>
        <v>FY2025</v>
      </c>
      <c r="U167" s="53" t="str">
        <f>CONCATENATE("FY",$AD$3+2)</f>
        <v>FY2026</v>
      </c>
      <c r="V167" s="53" t="str">
        <f>CONCATENATE("FY",$AD$3+3)</f>
        <v>FY2027</v>
      </c>
      <c r="W167" s="53" t="str">
        <f>CONCATENATE("FY",$AD$3+4)</f>
        <v>FY2028</v>
      </c>
      <c r="X167" s="53" t="str">
        <f>CONCATENATE("FY",$AD$3+5)</f>
        <v>FY2029</v>
      </c>
      <c r="Y167" s="53" t="str">
        <f>CONCATENATE("FY",$AD$3+6)</f>
        <v>FY2030</v>
      </c>
      <c r="Z167" s="53" t="str">
        <f>CONCATENATE("FY",$AD$3+7)</f>
        <v>FY2031</v>
      </c>
      <c r="AA167" s="53" t="str">
        <f>CONCATENATE("FY",$AD$3+8)</f>
        <v>FY2032</v>
      </c>
      <c r="AB167" s="53" t="str">
        <f>CONCATENATE("FY",$AD$3+9)</f>
        <v>FY2033</v>
      </c>
    </row>
    <row r="168" spans="1:28" x14ac:dyDescent="0.35">
      <c r="A168" s="147" t="s">
        <v>61</v>
      </c>
      <c r="B168" s="317">
        <v>0</v>
      </c>
      <c r="C168" s="317">
        <v>0</v>
      </c>
      <c r="D168" s="317">
        <v>0</v>
      </c>
      <c r="E168" s="317">
        <v>0</v>
      </c>
      <c r="F168" s="317">
        <v>0</v>
      </c>
      <c r="G168" s="317">
        <v>0</v>
      </c>
      <c r="H168" s="317">
        <v>0</v>
      </c>
      <c r="I168" s="317">
        <v>0</v>
      </c>
      <c r="J168" s="317">
        <v>0</v>
      </c>
      <c r="K168" s="317">
        <v>0</v>
      </c>
      <c r="Q168" s="149"/>
      <c r="R168" s="118"/>
      <c r="S168" s="53" t="str">
        <f>IF(OR($AD$2&gt;=7,$AD$2&lt;=2),CONCATENATE("FY",$AD$3),IF(AND($AD$2&gt;=3,$AD$2&lt;=6),CONCATENATE("FY",$AD$3+1),"N/A"))</f>
        <v>FY2024</v>
      </c>
      <c r="T168" s="53" t="str">
        <f>IF(OR($AD$2&gt;=7,$AD$2&lt;=2),CONCATENATE("FY",$AD$3+1),IF(AND($AD$2&gt;=3,$AD$2&lt;=6),CONCATENATE("FY",$AD$3+2),"N/A"))</f>
        <v>FY2025</v>
      </c>
      <c r="U168" s="53" t="str">
        <f>IF(OR($AD$2&gt;=7,$AD$2&lt;=2),CONCATENATE("FY",$AD$3+2),IF(AND($AD$2&gt;=3,$AD$2&lt;=6),CONCATENATE("FY",$AD$3+3),"N/A"))</f>
        <v>FY2026</v>
      </c>
      <c r="V168" s="53" t="str">
        <f>IF(OR($AD$2&gt;=7,$AD$2&lt;=2),CONCATENATE("FY",$AD$3+3),IF(AND($AD$2&gt;=3,$AD$2&lt;=6),CONCATENATE("FY",$AD$3+4),"N/A"))</f>
        <v>FY2027</v>
      </c>
      <c r="W168" s="53" t="str">
        <f>IF(OR($AD$2&gt;=7,$AD$2&lt;=2),CONCATENATE("FY",$AD$3+4),IF(AND($AD$2&gt;=3,$AD$2&lt;=6),CONCATENATE("FY",$AD$3+5),"N/A"))</f>
        <v>FY2028</v>
      </c>
      <c r="X168" s="53" t="str">
        <f>IF(OR($AD$2&gt;=7,$AD$2&lt;=2),CONCATENATE("FY",$AD$3+5),IF(AND($AD$2&gt;=3,$AD$2&lt;=6),CONCATENATE("FY",$AD$3+6),"N/A"))</f>
        <v>FY2029</v>
      </c>
      <c r="Y168" s="53" t="str">
        <f>IF(OR($AD$2&gt;=7,$AD$2&lt;=2),CONCATENATE("FY",$AD$3+6),IF(AND($AD$2&gt;=3,$AD$2&lt;=6),CONCATENATE("FY",$AD$3+7),"N/A"))</f>
        <v>FY2030</v>
      </c>
      <c r="Z168" s="53" t="str">
        <f>IF(OR($AD$2&gt;=7,$AD$2&lt;=2),CONCATENATE("FY",$AD$3+7),IF(AND($AD$2&gt;=3,$AD$2&lt;=6),CONCATENATE("FY",$AD$3+8),"N/A"))</f>
        <v>FY2031</v>
      </c>
      <c r="AA168" s="53" t="str">
        <f>IF(OR($AD$2&gt;=7,$AD$2&lt;=2),CONCATENATE("FY",$AD$3+8),IF(AND($AD$2&gt;=3,$AD$2&lt;=6),CONCATENATE("FY",$AD$3+9),"N/A"))</f>
        <v>FY2032</v>
      </c>
      <c r="AB168" s="53" t="str">
        <f>IF(OR($AD$2&gt;=7,$AD$2&lt;=2),CONCATENATE("FY",$AD$3+9),IF(AND($AD$2&gt;=3,$AD$2&lt;=6),CONCATENATE("FY",$AD$3+10),"N/A"))</f>
        <v>FY2033</v>
      </c>
    </row>
    <row r="169" spans="1:28" x14ac:dyDescent="0.35">
      <c r="A169" s="147" t="s">
        <v>66</v>
      </c>
      <c r="B169" s="54">
        <f>ROUND(B166*(B167*B168),0)</f>
        <v>0</v>
      </c>
      <c r="C169" s="54">
        <f t="shared" ref="C169:F169" si="283">ROUND(C166*(C167*C168),0)</f>
        <v>0</v>
      </c>
      <c r="D169" s="54">
        <f t="shared" si="283"/>
        <v>0</v>
      </c>
      <c r="E169" s="54">
        <f t="shared" si="283"/>
        <v>0</v>
      </c>
      <c r="F169" s="54">
        <f t="shared" si="283"/>
        <v>0</v>
      </c>
      <c r="G169" s="54">
        <f t="shared" ref="G169:K169" si="284">ROUND(G166*(G167*G168),0)</f>
        <v>0</v>
      </c>
      <c r="H169" s="54">
        <f t="shared" si="284"/>
        <v>0</v>
      </c>
      <c r="I169" s="54">
        <f t="shared" si="284"/>
        <v>0</v>
      </c>
      <c r="J169" s="54">
        <f t="shared" si="284"/>
        <v>0</v>
      </c>
      <c r="K169" s="54">
        <f t="shared" si="284"/>
        <v>0</v>
      </c>
      <c r="Q169" s="149"/>
      <c r="R169" s="53"/>
      <c r="S169" s="53" t="str">
        <f>IF(AND($AD$2&gt;=1,$AD$2&lt;=6),CONCATENATE("FY",$AD$3+1),IF(AND($AD$2&gt;=7,$AD$2&lt;=9),CONCATENATE("FY",$AD$3),IF(AND($AD$2&gt;=10,$AD$2&lt;=126),CONCATENATE("FY",$AD$3+1),"N/A")))</f>
        <v>FY2024</v>
      </c>
      <c r="T169" s="53" t="str">
        <f>IF(AND($AD$2&gt;=1,$AD$2&lt;=6),CONCATENATE("FY",$AD$3+2),IF(AND($AD$2&gt;=7,$AD$2&lt;=9),CONCATENATE("FY",$AD$3+1),IF(AND($AD$2&gt;=10,$AD$2&lt;=126),CONCATENATE("FY",$AD$3+2),"N/A")))</f>
        <v>FY2025</v>
      </c>
      <c r="U169" s="53" t="str">
        <f>IF(AND($AD$2&gt;=1,$AD$2&lt;=6),CONCATENATE("FY",$AD$3+3),IF(AND($AD$2&gt;=7,$AD$2&lt;=9),CONCATENATE("FY",$AD$3+2),IF(AND($AD$2&gt;=10,$AD$2&lt;=126),CONCATENATE("FY",$AD$3+3),"N/A")))</f>
        <v>FY2026</v>
      </c>
      <c r="V169" s="53" t="str">
        <f>IF(AND($AD$2&gt;=1,$AD$2&lt;=6),CONCATENATE("FY",$AD$3+4),IF(AND($AD$2&gt;=7,$AD$2&lt;=9),CONCATENATE("FY",$AD$3+3),IF(AND($AD$2&gt;=10,$AD$2&lt;=126),CONCATENATE("FY",$AD$3+4),"N/A")))</f>
        <v>FY2027</v>
      </c>
      <c r="W169" s="53" t="str">
        <f>IF(AND($AD$2&gt;=1,$AD$2&lt;=6),CONCATENATE("FY",$AD$3+5),IF(AND($AD$2&gt;=7,$AD$2&lt;=9),CONCATENATE("FY",$AD$3+4),IF(AND($AD$2&gt;=10,$AD$2&lt;=126),CONCATENATE("FY",$AD$3+5),"N/A")))</f>
        <v>FY2028</v>
      </c>
      <c r="X169" s="53" t="str">
        <f>IF(AND($AD$2&gt;=1,$AD$2&lt;=6),CONCATENATE("FY",$AD$3+6),IF(AND($AD$2&gt;=7,$AD$2&lt;=9),CONCATENATE("FY",$AD$3+5),IF(AND($AD$2&gt;=10,$AD$2&lt;=126),CONCATENATE("FY",$AD$3+6),"N/A")))</f>
        <v>FY2029</v>
      </c>
      <c r="Y169" s="53" t="str">
        <f>IF(AND($AD$2&gt;=1,$AD$2&lt;=6),CONCATENATE("FY",$AD$3+6),IF(AND($AD$2&gt;=7,$AD$2&lt;=9),CONCATENATE("FY",$AD$3+6),IF(AND($AD$2&gt;=10,$AD$2&lt;=126),CONCATENATE("FY",$AD$3+7),"N/A")))</f>
        <v>FY2030</v>
      </c>
      <c r="Z169" s="53" t="str">
        <f>IF(AND($AD$2&gt;=1,$AD$2&lt;=6),CONCATENATE("FY",$AD$3+6),IF(AND($AD$2&gt;=7,$AD$2&lt;=9),CONCATENATE("FY",$AD$3+7),IF(AND($AD$2&gt;=10,$AD$2&lt;=126),CONCATENATE("FY",$AD$3+8),"N/A")))</f>
        <v>FY2031</v>
      </c>
      <c r="AA169" s="53" t="str">
        <f>IF(AND($AD$2&gt;=1,$AD$2&lt;=6),CONCATENATE("FY",$AD$3+6),IF(AND($AD$2&gt;=7,$AD$2&lt;=9),CONCATENATE("FY",$AD$3+8),IF(AND($AD$2&gt;=10,$AD$2&lt;=126),CONCATENATE("FY",$AD$3+9),"N/A")))</f>
        <v>FY2032</v>
      </c>
      <c r="AB169" s="53" t="str">
        <f>IF(AND($AD$2&gt;=1,$AD$2&lt;=6),CONCATENATE("FY",$AD$3+6),IF(AND($AD$2&gt;=7,$AD$2&lt;=9),CONCATENATE("FY",$AD$3+9),IF(AND($AD$2&gt;=10,$AD$2&lt;=126),CONCATENATE("FY",$AD$3+10),"N/A")))</f>
        <v>FY2033</v>
      </c>
    </row>
    <row r="170" spans="1:28" ht="15" thickBot="1" x14ac:dyDescent="0.4">
      <c r="A170" s="147" t="s">
        <v>58</v>
      </c>
      <c r="B170" s="317">
        <v>0</v>
      </c>
      <c r="C170" s="317">
        <v>0</v>
      </c>
      <c r="D170" s="317">
        <v>0</v>
      </c>
      <c r="E170" s="317">
        <v>0</v>
      </c>
      <c r="F170" s="317">
        <v>0</v>
      </c>
      <c r="G170" s="317">
        <v>0</v>
      </c>
      <c r="H170" s="317">
        <v>0</v>
      </c>
      <c r="I170" s="317">
        <v>0</v>
      </c>
      <c r="J170" s="317">
        <v>0</v>
      </c>
      <c r="K170" s="317">
        <v>0</v>
      </c>
      <c r="Q170" s="149"/>
      <c r="R170" s="427" t="s">
        <v>106</v>
      </c>
      <c r="S170" s="50" t="s">
        <v>1</v>
      </c>
      <c r="T170" s="51" t="s">
        <v>2</v>
      </c>
      <c r="U170" s="51" t="s">
        <v>3</v>
      </c>
      <c r="V170" s="51" t="s">
        <v>39</v>
      </c>
      <c r="W170" s="51" t="s">
        <v>45</v>
      </c>
      <c r="X170" s="51" t="s">
        <v>185</v>
      </c>
      <c r="Y170" s="51" t="s">
        <v>186</v>
      </c>
      <c r="Z170" s="51" t="s">
        <v>187</v>
      </c>
      <c r="AA170" s="51" t="s">
        <v>188</v>
      </c>
      <c r="AB170" s="51" t="s">
        <v>189</v>
      </c>
    </row>
    <row r="171" spans="1:28" x14ac:dyDescent="0.35">
      <c r="A171" s="147" t="s">
        <v>59</v>
      </c>
      <c r="B171" s="317">
        <v>0</v>
      </c>
      <c r="C171" s="317">
        <v>0</v>
      </c>
      <c r="D171" s="317">
        <v>0</v>
      </c>
      <c r="E171" s="317">
        <v>0</v>
      </c>
      <c r="F171" s="317">
        <v>0</v>
      </c>
      <c r="G171" s="317">
        <v>0</v>
      </c>
      <c r="H171" s="317">
        <v>0</v>
      </c>
      <c r="I171" s="317">
        <v>0</v>
      </c>
      <c r="J171" s="317">
        <v>0</v>
      </c>
      <c r="K171" s="317">
        <v>0</v>
      </c>
      <c r="Q171" s="149"/>
      <c r="R171" s="119" t="str">
        <f t="shared" ref="R171:R179" si="285">+R90</f>
        <v>Stipend (Fall)</v>
      </c>
      <c r="S171" s="120">
        <f t="shared" ref="S171:AB171" si="286">IF(RIGHT($R171,8)="(Summer)",ROUND(S155*HLOOKUP(S167,CoPI_1_GRARateTbl,3,FALSE),0))+IF(RIGHT($R171,8)&lt;&gt;"(Summer)",ROUND(S155*HLOOKUP(S167,CoPI_1_GRARateTbl,2,FALSE)/2,0))</f>
        <v>0</v>
      </c>
      <c r="T171" s="120">
        <f t="shared" si="286"/>
        <v>0</v>
      </c>
      <c r="U171" s="120">
        <f t="shared" si="286"/>
        <v>0</v>
      </c>
      <c r="V171" s="120">
        <f t="shared" si="286"/>
        <v>0</v>
      </c>
      <c r="W171" s="120">
        <f t="shared" si="286"/>
        <v>0</v>
      </c>
      <c r="X171" s="120">
        <f t="shared" si="286"/>
        <v>0</v>
      </c>
      <c r="Y171" s="120">
        <f t="shared" si="286"/>
        <v>0</v>
      </c>
      <c r="Z171" s="120">
        <f t="shared" si="286"/>
        <v>0</v>
      </c>
      <c r="AA171" s="120">
        <f t="shared" si="286"/>
        <v>0</v>
      </c>
      <c r="AB171" s="120">
        <f t="shared" si="286"/>
        <v>0</v>
      </c>
    </row>
    <row r="172" spans="1:28" x14ac:dyDescent="0.35">
      <c r="A172" s="147" t="s">
        <v>67</v>
      </c>
      <c r="B172" s="54">
        <f t="shared" ref="B172:G172" si="287">ROUND(B166*(B170*B171),0)</f>
        <v>0</v>
      </c>
      <c r="C172" s="54">
        <f t="shared" si="287"/>
        <v>0</v>
      </c>
      <c r="D172" s="54">
        <f t="shared" si="287"/>
        <v>0</v>
      </c>
      <c r="E172" s="54">
        <f t="shared" si="287"/>
        <v>0</v>
      </c>
      <c r="F172" s="54">
        <f t="shared" si="287"/>
        <v>0</v>
      </c>
      <c r="G172" s="54">
        <f t="shared" si="287"/>
        <v>0</v>
      </c>
      <c r="H172" s="54">
        <f t="shared" ref="H172" si="288">ROUND(H166*(H170*H171),0)</f>
        <v>0</v>
      </c>
      <c r="I172" s="54">
        <f t="shared" ref="I172" si="289">ROUND(I166*(I170*I171),0)</f>
        <v>0</v>
      </c>
      <c r="J172" s="54">
        <f t="shared" ref="J172" si="290">ROUND(J166*(J170*J171),0)</f>
        <v>0</v>
      </c>
      <c r="K172" s="54">
        <f t="shared" ref="K172" si="291">ROUND(K166*(K170*K171),0)</f>
        <v>0</v>
      </c>
      <c r="Q172" s="149"/>
      <c r="R172" s="121" t="str">
        <f t="shared" si="285"/>
        <v>Stipend (Spring)</v>
      </c>
      <c r="S172" s="120">
        <f t="shared" ref="S172:AB172" si="292">IF(RIGHT($R172,8)="(Summer)",ROUND(S156*HLOOKUP(S168,CoPI_1_GRARateTbl,3,FALSE),0))+IF(RIGHT($R172,8)&lt;&gt;"(Summer)",ROUND(S156*HLOOKUP(S168,CoPI_1_GRARateTbl,2,FALSE)/2,0))</f>
        <v>0</v>
      </c>
      <c r="T172" s="120">
        <f t="shared" si="292"/>
        <v>0</v>
      </c>
      <c r="U172" s="120">
        <f t="shared" si="292"/>
        <v>0</v>
      </c>
      <c r="V172" s="120">
        <f t="shared" si="292"/>
        <v>0</v>
      </c>
      <c r="W172" s="120">
        <f t="shared" si="292"/>
        <v>0</v>
      </c>
      <c r="X172" s="120">
        <f t="shared" si="292"/>
        <v>0</v>
      </c>
      <c r="Y172" s="120">
        <f t="shared" si="292"/>
        <v>0</v>
      </c>
      <c r="Z172" s="120">
        <f t="shared" si="292"/>
        <v>0</v>
      </c>
      <c r="AA172" s="120">
        <f t="shared" si="292"/>
        <v>0</v>
      </c>
      <c r="AB172" s="120">
        <f t="shared" si="292"/>
        <v>0</v>
      </c>
    </row>
    <row r="173" spans="1:28" x14ac:dyDescent="0.35">
      <c r="A173" s="147" t="s">
        <v>21</v>
      </c>
      <c r="B173" s="110">
        <f t="shared" ref="B173:G173" si="293">+B169+B172</f>
        <v>0</v>
      </c>
      <c r="C173" s="110">
        <f t="shared" si="293"/>
        <v>0</v>
      </c>
      <c r="D173" s="110">
        <f t="shared" si="293"/>
        <v>0</v>
      </c>
      <c r="E173" s="110">
        <f t="shared" si="293"/>
        <v>0</v>
      </c>
      <c r="F173" s="110">
        <f t="shared" si="293"/>
        <v>0</v>
      </c>
      <c r="G173" s="110">
        <f t="shared" si="293"/>
        <v>0</v>
      </c>
      <c r="H173" s="110">
        <f t="shared" ref="H173" si="294">+H169+H172</f>
        <v>0</v>
      </c>
      <c r="I173" s="110">
        <f t="shared" ref="I173" si="295">+I169+I172</f>
        <v>0</v>
      </c>
      <c r="J173" s="110">
        <f t="shared" ref="J173" si="296">+J169+J172</f>
        <v>0</v>
      </c>
      <c r="K173" s="110">
        <f t="shared" ref="K173" si="297">+K169+K172</f>
        <v>0</v>
      </c>
      <c r="Q173" s="149"/>
      <c r="R173" s="121" t="str">
        <f t="shared" si="285"/>
        <v>Stipend (Summer)</v>
      </c>
      <c r="S173" s="120">
        <f t="shared" ref="S173:AB173" si="298">IF(RIGHT($R173,8)="(Summer)",ROUND(S157*HLOOKUP(S169,CoPI_1_GRARateTbl,3,FALSE),0))+IF(RIGHT($R173,8)&lt;&gt;"(Summer)",ROUND(S157*HLOOKUP(S169,CoPI_1_GRARateTbl,2,FALSE)/2,0))</f>
        <v>0</v>
      </c>
      <c r="T173" s="120">
        <f t="shared" si="298"/>
        <v>0</v>
      </c>
      <c r="U173" s="120">
        <f t="shared" si="298"/>
        <v>0</v>
      </c>
      <c r="V173" s="120">
        <f t="shared" si="298"/>
        <v>0</v>
      </c>
      <c r="W173" s="120">
        <f t="shared" si="298"/>
        <v>0</v>
      </c>
      <c r="X173" s="120">
        <f t="shared" si="298"/>
        <v>0</v>
      </c>
      <c r="Y173" s="120">
        <f t="shared" si="298"/>
        <v>0</v>
      </c>
      <c r="Z173" s="120">
        <f t="shared" si="298"/>
        <v>0</v>
      </c>
      <c r="AA173" s="120">
        <f t="shared" si="298"/>
        <v>0</v>
      </c>
      <c r="AB173" s="120">
        <f t="shared" si="298"/>
        <v>0</v>
      </c>
    </row>
    <row r="174" spans="1:28" x14ac:dyDescent="0.35">
      <c r="A174" s="149"/>
      <c r="I174" s="23"/>
      <c r="J174" s="23"/>
      <c r="K174" s="23"/>
      <c r="L174" s="23"/>
      <c r="M174" s="23"/>
      <c r="N174" s="23"/>
      <c r="Q174" s="149"/>
      <c r="R174" s="121" t="str">
        <f t="shared" si="285"/>
        <v>Tuition (Fall)</v>
      </c>
      <c r="S174" s="120">
        <f t="shared" ref="S174:AB174" si="299">IF(RIGHT($R174,8)="(Summer)",0,ROUND(S155*HLOOKUP(S167,CoPI_1_GRARateTbl,5,FALSE)/2,0))</f>
        <v>0</v>
      </c>
      <c r="T174" s="120">
        <f t="shared" si="299"/>
        <v>0</v>
      </c>
      <c r="U174" s="120">
        <f t="shared" si="299"/>
        <v>0</v>
      </c>
      <c r="V174" s="120">
        <f t="shared" si="299"/>
        <v>0</v>
      </c>
      <c r="W174" s="120">
        <f t="shared" si="299"/>
        <v>0</v>
      </c>
      <c r="X174" s="120">
        <f t="shared" si="299"/>
        <v>0</v>
      </c>
      <c r="Y174" s="120">
        <f t="shared" si="299"/>
        <v>0</v>
      </c>
      <c r="Z174" s="120">
        <f t="shared" si="299"/>
        <v>0</v>
      </c>
      <c r="AA174" s="120">
        <f t="shared" si="299"/>
        <v>0</v>
      </c>
      <c r="AB174" s="120">
        <f t="shared" si="299"/>
        <v>0</v>
      </c>
    </row>
    <row r="175" spans="1:28" x14ac:dyDescent="0.35">
      <c r="A175" s="150" t="s">
        <v>88</v>
      </c>
      <c r="B175" s="104" t="str">
        <f t="shared" ref="B175:L175" si="300">IF(AND(B176=$AE$5,$O177=9),$AE$3,IF(AND(B176=$AF$5,$O177=9),$AF$3,IF(AND(B176=$AG$5,$O177=9),$AG$3,IF(AND(B176=$AH$5,$O177=9),$AH$3,IF(AND(B176=$AI$5,$O177=9),$AI$3,IF(AND(B176=$AJ$5,$O177=9),$AJ$3,IF(AND(B176=$AK$5,$O177=9),$AK$3,IF(AND(B176=$AL$5,$O177=9),$AL$3,IF(AND(B176=$AM$5,$O177=9),$AM$3,IF(AND(B176=$AN$5,$O177=9),$AN$3,IF(AND(B176=$AO$5,$O177=9),$AO$3,IF(AND(B176=$AP$5,$O177=9),$AJ$3,IF(AND(B176=$AE$4,$O177=12),$AE$3,IF(AND(B176=$AF$4,$O177=12),$AF$3,IF(AND(B176=$AG$4,$O177=12),$AG$3,IF(AND(B176=$AH$4,$O177=12),$AH$3,IF(AND(B176=$AI$4,$O177=12),$AI$3,IF(AND(B176=$AJ$4,$O177=12),$AJ$3,IF(AND(B176=$AK$4,$O177=12),$AK$3,IF(AND(B176=$AL$4,$O177=12),$AL$3,IF(AND(B176=$AM$4,$O177=12),$AM$3,IF(AND(B176=$AN$4,$O177=12),$AN$3,IF(AND(B176=$AO$4,$O177=12),$AO$3,IF(AND(B176=$AP$4,$O177=12),$AJ$3," "))))))))))))))))))))))))</f>
        <v xml:space="preserve"> </v>
      </c>
      <c r="C175" s="104" t="str">
        <f t="shared" si="300"/>
        <v>Year 1</v>
      </c>
      <c r="D175" s="104" t="str">
        <f t="shared" si="300"/>
        <v>Year 2</v>
      </c>
      <c r="E175" s="104" t="str">
        <f t="shared" si="300"/>
        <v>Year 3</v>
      </c>
      <c r="F175" s="104" t="str">
        <f t="shared" si="300"/>
        <v>Year 4</v>
      </c>
      <c r="G175" s="104" t="str">
        <f t="shared" si="300"/>
        <v>Year 5</v>
      </c>
      <c r="H175" s="104" t="str">
        <f t="shared" si="300"/>
        <v>Year 6</v>
      </c>
      <c r="I175" s="104" t="str">
        <f t="shared" si="300"/>
        <v>Year 7</v>
      </c>
      <c r="J175" s="104" t="str">
        <f t="shared" si="300"/>
        <v>Year 8</v>
      </c>
      <c r="K175" s="104" t="str">
        <f t="shared" si="300"/>
        <v>Year 9</v>
      </c>
      <c r="L175" s="104" t="str">
        <f t="shared" si="300"/>
        <v>Year 10</v>
      </c>
      <c r="M175" s="104" t="str">
        <f t="shared" ref="M175" si="301">IF(AND(M176=$AE$5,$O177=9),$AE$3,IF(AND(M176=$AF$5,$O177=9),$AF$3,IF(AND(M176=$AG$5,$O177=9),$AG$3,IF(AND(M176=$AH$5,$O177=9),$AH$3,IF(AND(M176=$AI$5,$O177=9),$AI$3,IF(AND(M176=$AJ$5,$O177=9),$AJ$3,IF(AND(M176=$AK$5,$O177=9),$AK$3,IF(AND(M176=$AL$5,$O177=9),$AL$3,IF(AND(M176=$AM$5,$O177=9),$AM$3,IF(AND(M176=$AN$5,$O177=9),$AN$3,IF(AND(M176=$AO$5,$O177=9),$AO$3,IF(AND(M176=$AP$5,$O177=9),$AJ$3,IF(AND(M176=$AE$4,$O177=12),$AE$3,IF(AND(M176=$AF$4,$O177=12),$AF$3,IF(AND(M176=$AG$4,$O177=12),$AG$3,IF(AND(M176=$AH$4,$O177=12),$AH$3,IF(AND(M176=$AI$4,$O177=12),$AI$3,IF(AND(M176=$AJ$4,$O177=12),$AJ$3,IF(AND(M176=$AK$4,$O177=12),$AK$3,IF(AND(M176=$AL$4,$O177=12),$AL$3,IF(AND(M176=$AM$4,$O177=12),$AM$3,IF(AND(M176=$AN$4,$O177=12),$AN$3,IF(AND(M176=$AO$4,$O177=12),$AO$3,IF(AND(M176=$AP$4,$O177=12),$AJ$3," "))))))))))))))))))))))))</f>
        <v>Year 11</v>
      </c>
      <c r="N175" s="104"/>
      <c r="Q175" s="149"/>
      <c r="R175" s="121" t="str">
        <f t="shared" si="285"/>
        <v>Tuition (Spring)</v>
      </c>
      <c r="S175" s="120">
        <f t="shared" ref="S175:AB175" si="302">IF(RIGHT($R175,8)="(Summer)",0,ROUND(S156*HLOOKUP(S168,CoPI_1_GRARateTbl,5,FALSE)/2,0))</f>
        <v>0</v>
      </c>
      <c r="T175" s="120">
        <f t="shared" si="302"/>
        <v>0</v>
      </c>
      <c r="U175" s="120">
        <f t="shared" si="302"/>
        <v>0</v>
      </c>
      <c r="V175" s="120">
        <f t="shared" si="302"/>
        <v>0</v>
      </c>
      <c r="W175" s="120">
        <f t="shared" si="302"/>
        <v>0</v>
      </c>
      <c r="X175" s="120">
        <f t="shared" si="302"/>
        <v>0</v>
      </c>
      <c r="Y175" s="120">
        <f t="shared" si="302"/>
        <v>0</v>
      </c>
      <c r="Z175" s="120">
        <f t="shared" si="302"/>
        <v>0</v>
      </c>
      <c r="AA175" s="120">
        <f t="shared" si="302"/>
        <v>0</v>
      </c>
      <c r="AB175" s="120">
        <f t="shared" si="302"/>
        <v>0</v>
      </c>
    </row>
    <row r="176" spans="1:28" x14ac:dyDescent="0.35">
      <c r="A176" s="325" t="s">
        <v>29</v>
      </c>
      <c r="B176" s="55" t="str">
        <f t="shared" ref="B176:I176" si="303">+N$2</f>
        <v>FY2023</v>
      </c>
      <c r="C176" s="55" t="str">
        <f t="shared" si="303"/>
        <v>FY2024</v>
      </c>
      <c r="D176" s="55" t="str">
        <f t="shared" si="303"/>
        <v>FY2025</v>
      </c>
      <c r="E176" s="55" t="str">
        <f t="shared" si="303"/>
        <v>FY2026</v>
      </c>
      <c r="F176" s="55" t="str">
        <f t="shared" si="303"/>
        <v>FY2027</v>
      </c>
      <c r="G176" s="55" t="str">
        <f t="shared" si="303"/>
        <v>FY2028</v>
      </c>
      <c r="H176" s="55" t="str">
        <f t="shared" si="303"/>
        <v>FY2029</v>
      </c>
      <c r="I176" s="55" t="str">
        <f t="shared" si="303"/>
        <v>FY2030</v>
      </c>
      <c r="J176" s="55" t="str">
        <f t="shared" ref="J176" si="304">+V$2</f>
        <v>FY2031</v>
      </c>
      <c r="K176" s="55" t="str">
        <f t="shared" ref="K176:M176" si="305">+W$2</f>
        <v>FY2032</v>
      </c>
      <c r="L176" s="55" t="str">
        <f t="shared" si="305"/>
        <v>FY2033</v>
      </c>
      <c r="M176" s="55" t="str">
        <f t="shared" si="305"/>
        <v>FY2034</v>
      </c>
      <c r="N176" s="55"/>
      <c r="O176" s="32" t="s">
        <v>20</v>
      </c>
      <c r="P176" s="89" t="s">
        <v>64</v>
      </c>
      <c r="Q176" s="154"/>
      <c r="R176" s="121" t="str">
        <f t="shared" si="285"/>
        <v>Tuition (Summer)</v>
      </c>
      <c r="S176" s="120">
        <f t="shared" ref="S176:AB176" si="306">IF(RIGHT($R176,8)="(Summer)",0,ROUND(S157*HLOOKUP(S169,CoPI_1_GRARateTbl,5,FALSE)/2,0))</f>
        <v>0</v>
      </c>
      <c r="T176" s="120">
        <f t="shared" si="306"/>
        <v>0</v>
      </c>
      <c r="U176" s="120">
        <f t="shared" si="306"/>
        <v>0</v>
      </c>
      <c r="V176" s="120">
        <f t="shared" si="306"/>
        <v>0</v>
      </c>
      <c r="W176" s="120">
        <f t="shared" si="306"/>
        <v>0</v>
      </c>
      <c r="X176" s="120">
        <f t="shared" si="306"/>
        <v>0</v>
      </c>
      <c r="Y176" s="120">
        <f t="shared" si="306"/>
        <v>0</v>
      </c>
      <c r="Z176" s="120">
        <f t="shared" si="306"/>
        <v>0</v>
      </c>
      <c r="AA176" s="120">
        <f t="shared" si="306"/>
        <v>0</v>
      </c>
      <c r="AB176" s="120">
        <f t="shared" si="306"/>
        <v>0</v>
      </c>
    </row>
    <row r="177" spans="1:28" x14ac:dyDescent="0.35">
      <c r="A177" s="147" t="str">
        <f>CONCATENATE("Base Salary: ",O177," month term")</f>
        <v>Base Salary: 12 month term</v>
      </c>
      <c r="B177" s="314">
        <v>0</v>
      </c>
      <c r="C177" s="109">
        <f>B177</f>
        <v>0</v>
      </c>
      <c r="D177" s="109">
        <f t="shared" ref="D177:M177" si="307">ROUND(+C177*(1+$P$177),0)</f>
        <v>0</v>
      </c>
      <c r="E177" s="109">
        <f t="shared" si="307"/>
        <v>0</v>
      </c>
      <c r="F177" s="109">
        <f t="shared" si="307"/>
        <v>0</v>
      </c>
      <c r="G177" s="109">
        <f t="shared" si="307"/>
        <v>0</v>
      </c>
      <c r="H177" s="109">
        <f t="shared" si="307"/>
        <v>0</v>
      </c>
      <c r="I177" s="109">
        <f t="shared" si="307"/>
        <v>0</v>
      </c>
      <c r="J177" s="109">
        <f t="shared" si="307"/>
        <v>0</v>
      </c>
      <c r="K177" s="109">
        <f t="shared" si="307"/>
        <v>0</v>
      </c>
      <c r="L177" s="109">
        <f t="shared" si="307"/>
        <v>0</v>
      </c>
      <c r="M177" s="109">
        <f t="shared" si="307"/>
        <v>0</v>
      </c>
      <c r="N177" s="109"/>
      <c r="O177" s="311">
        <v>12</v>
      </c>
      <c r="P177" s="312">
        <v>0.03</v>
      </c>
      <c r="Q177" s="156"/>
      <c r="R177" s="121" t="str">
        <f t="shared" si="285"/>
        <v>Health Insurance (Fall)</v>
      </c>
      <c r="S177" s="120">
        <f t="shared" ref="S177:AB177" si="308">IF(RIGHT($R177,8)="(Summer)",0,ROUND(S155*HLOOKUP(S167,CoPI_1_GRARateTbl,6,FALSE)/2,0))</f>
        <v>0</v>
      </c>
      <c r="T177" s="120">
        <f t="shared" si="308"/>
        <v>0</v>
      </c>
      <c r="U177" s="120">
        <f t="shared" si="308"/>
        <v>0</v>
      </c>
      <c r="V177" s="120">
        <f t="shared" si="308"/>
        <v>0</v>
      </c>
      <c r="W177" s="120">
        <f t="shared" si="308"/>
        <v>0</v>
      </c>
      <c r="X177" s="120">
        <f t="shared" si="308"/>
        <v>0</v>
      </c>
      <c r="Y177" s="120">
        <f t="shared" si="308"/>
        <v>0</v>
      </c>
      <c r="Z177" s="120">
        <f t="shared" si="308"/>
        <v>0</v>
      </c>
      <c r="AA177" s="120">
        <f t="shared" si="308"/>
        <v>0</v>
      </c>
      <c r="AB177" s="120">
        <f t="shared" si="308"/>
        <v>0</v>
      </c>
    </row>
    <row r="178" spans="1:28" x14ac:dyDescent="0.35">
      <c r="A178" s="147" t="s">
        <v>44</v>
      </c>
      <c r="B178" s="313">
        <v>0</v>
      </c>
      <c r="C178" s="313">
        <v>0</v>
      </c>
      <c r="D178" s="313">
        <v>0</v>
      </c>
      <c r="E178" s="313">
        <v>0</v>
      </c>
      <c r="F178" s="313">
        <v>0</v>
      </c>
      <c r="G178" s="313">
        <v>0</v>
      </c>
      <c r="H178" s="313">
        <v>0</v>
      </c>
      <c r="I178" s="313">
        <v>0</v>
      </c>
      <c r="J178" s="313">
        <v>0</v>
      </c>
      <c r="K178" s="313">
        <v>0</v>
      </c>
      <c r="L178" s="313">
        <v>0</v>
      </c>
      <c r="M178" s="313">
        <v>0</v>
      </c>
      <c r="N178" s="402"/>
      <c r="O178" s="25"/>
      <c r="P178" s="25"/>
      <c r="Q178" s="147"/>
      <c r="R178" s="121" t="str">
        <f t="shared" si="285"/>
        <v>Health Insurance (Spring)</v>
      </c>
      <c r="S178" s="120">
        <f t="shared" ref="S178:AB178" si="309">IF(RIGHT($R178,8)="(Summer)",0,ROUND(S156*HLOOKUP(S168,CoPI_1_GRARateTbl,6,FALSE)/2,0))</f>
        <v>0</v>
      </c>
      <c r="T178" s="120">
        <f t="shared" si="309"/>
        <v>0</v>
      </c>
      <c r="U178" s="120">
        <f t="shared" si="309"/>
        <v>0</v>
      </c>
      <c r="V178" s="120">
        <f t="shared" si="309"/>
        <v>0</v>
      </c>
      <c r="W178" s="120">
        <f t="shared" si="309"/>
        <v>0</v>
      </c>
      <c r="X178" s="120">
        <f t="shared" si="309"/>
        <v>0</v>
      </c>
      <c r="Y178" s="120">
        <f t="shared" si="309"/>
        <v>0</v>
      </c>
      <c r="Z178" s="120">
        <f t="shared" si="309"/>
        <v>0</v>
      </c>
      <c r="AA178" s="120">
        <f t="shared" si="309"/>
        <v>0</v>
      </c>
      <c r="AB178" s="120">
        <f t="shared" si="309"/>
        <v>0</v>
      </c>
    </row>
    <row r="179" spans="1:28" x14ac:dyDescent="0.35">
      <c r="A179" s="147" t="str">
        <f>CONCATENATE("FTE for ",O177," Months")</f>
        <v>FTE for 12 Months</v>
      </c>
      <c r="B179" s="395">
        <f t="shared" ref="B179:L179" si="310">+B178/$O177</f>
        <v>0</v>
      </c>
      <c r="C179" s="395">
        <f t="shared" si="310"/>
        <v>0</v>
      </c>
      <c r="D179" s="395">
        <f t="shared" si="310"/>
        <v>0</v>
      </c>
      <c r="E179" s="395">
        <f t="shared" si="310"/>
        <v>0</v>
      </c>
      <c r="F179" s="395">
        <f t="shared" si="310"/>
        <v>0</v>
      </c>
      <c r="G179" s="395">
        <f t="shared" si="310"/>
        <v>0</v>
      </c>
      <c r="H179" s="395">
        <f t="shared" si="310"/>
        <v>0</v>
      </c>
      <c r="I179" s="395">
        <f t="shared" si="310"/>
        <v>0</v>
      </c>
      <c r="J179" s="395">
        <f t="shared" si="310"/>
        <v>0</v>
      </c>
      <c r="K179" s="395">
        <f t="shared" si="310"/>
        <v>0</v>
      </c>
      <c r="L179" s="395">
        <f t="shared" si="310"/>
        <v>0</v>
      </c>
      <c r="M179" s="395">
        <f t="shared" ref="M179" si="311">+M178/$O177</f>
        <v>0</v>
      </c>
      <c r="N179" s="403"/>
      <c r="O179" s="89"/>
      <c r="P179" s="89"/>
      <c r="Q179" s="154"/>
      <c r="R179" s="121" t="str">
        <f t="shared" si="285"/>
        <v>Health Insurance (Summer)</v>
      </c>
      <c r="S179" s="120">
        <f t="shared" ref="S179:AB179" si="312">IF(RIGHT($R179,8)="(Summer)",0,ROUND(S157*HLOOKUP(S169,CoPI_1_GRARateTbl,6,FALSE)/2,0))</f>
        <v>0</v>
      </c>
      <c r="T179" s="120">
        <f t="shared" si="312"/>
        <v>0</v>
      </c>
      <c r="U179" s="120">
        <f t="shared" si="312"/>
        <v>0</v>
      </c>
      <c r="V179" s="120">
        <f t="shared" si="312"/>
        <v>0</v>
      </c>
      <c r="W179" s="120">
        <f t="shared" si="312"/>
        <v>0</v>
      </c>
      <c r="X179" s="120">
        <f t="shared" si="312"/>
        <v>0</v>
      </c>
      <c r="Y179" s="120">
        <f t="shared" si="312"/>
        <v>0</v>
      </c>
      <c r="Z179" s="120">
        <f t="shared" si="312"/>
        <v>0</v>
      </c>
      <c r="AA179" s="120">
        <f t="shared" si="312"/>
        <v>0</v>
      </c>
      <c r="AB179" s="120">
        <f t="shared" si="312"/>
        <v>0</v>
      </c>
    </row>
    <row r="180" spans="1:28" ht="15" thickBot="1" x14ac:dyDescent="0.4">
      <c r="A180" s="147" t="s">
        <v>21</v>
      </c>
      <c r="B180" s="110">
        <f t="shared" ref="B180:K180" si="313">ROUND((B177*B179*$Q$35)+(C177*B179*$Q$36),0)</f>
        <v>0</v>
      </c>
      <c r="C180" s="110">
        <f t="shared" si="313"/>
        <v>0</v>
      </c>
      <c r="D180" s="110">
        <f t="shared" si="313"/>
        <v>0</v>
      </c>
      <c r="E180" s="110">
        <f t="shared" si="313"/>
        <v>0</v>
      </c>
      <c r="F180" s="110">
        <f t="shared" si="313"/>
        <v>0</v>
      </c>
      <c r="G180" s="110">
        <f t="shared" si="313"/>
        <v>0</v>
      </c>
      <c r="H180" s="110">
        <f t="shared" si="313"/>
        <v>0</v>
      </c>
      <c r="I180" s="110">
        <f t="shared" si="313"/>
        <v>0</v>
      </c>
      <c r="J180" s="110">
        <f t="shared" si="313"/>
        <v>0</v>
      </c>
      <c r="K180" s="110">
        <f t="shared" si="313"/>
        <v>0</v>
      </c>
      <c r="L180" s="110">
        <f>ROUND((L177*L179*$Q$35)+(N177*L179*$Q$36),0)</f>
        <v>0</v>
      </c>
      <c r="M180" s="110">
        <f>ROUND((M177*M179*$Q$35)+(O177*M179*$Q$36),0)</f>
        <v>0</v>
      </c>
      <c r="N180" s="404"/>
      <c r="O180" s="89"/>
      <c r="P180" s="89"/>
      <c r="Q180" s="154"/>
      <c r="R180" s="38" t="s">
        <v>31</v>
      </c>
      <c r="S180" s="39">
        <f t="shared" ref="S180:V180" si="314">SUM(S171:S179)</f>
        <v>0</v>
      </c>
      <c r="T180" s="39">
        <f t="shared" si="314"/>
        <v>0</v>
      </c>
      <c r="U180" s="39">
        <f t="shared" si="314"/>
        <v>0</v>
      </c>
      <c r="V180" s="39">
        <f t="shared" si="314"/>
        <v>0</v>
      </c>
      <c r="W180" s="39">
        <f t="shared" ref="W180" si="315">SUM(W171:W179)</f>
        <v>0</v>
      </c>
      <c r="X180" s="39">
        <f t="shared" ref="X180" si="316">SUM(X171:X179)</f>
        <v>0</v>
      </c>
      <c r="Y180" s="39">
        <f t="shared" ref="Y180" si="317">SUM(Y171:Y179)</f>
        <v>0</v>
      </c>
      <c r="Z180" s="39">
        <f t="shared" ref="Z180" si="318">SUM(Z171:Z179)</f>
        <v>0</v>
      </c>
      <c r="AA180" s="39">
        <f t="shared" ref="AA180" si="319">SUM(AA171:AA179)</f>
        <v>0</v>
      </c>
      <c r="AB180" s="39">
        <f t="shared" ref="AB180" si="320">SUM(AB171:AB179)</f>
        <v>0</v>
      </c>
    </row>
    <row r="183" spans="1:28" x14ac:dyDescent="0.35">
      <c r="A183" s="189" t="str">
        <f ca="1">+A16</f>
        <v>Co-PI Budget (2)</v>
      </c>
    </row>
    <row r="184" spans="1:28" x14ac:dyDescent="0.35">
      <c r="A184" s="135" t="s">
        <v>50</v>
      </c>
      <c r="B184" s="209" t="str">
        <f>+B16</f>
        <v>Co-PI</v>
      </c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</row>
    <row r="185" spans="1:28" x14ac:dyDescent="0.35">
      <c r="A185" s="135" t="s">
        <v>53</v>
      </c>
      <c r="B185" s="326" t="s">
        <v>57</v>
      </c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</row>
    <row r="186" spans="1:28" x14ac:dyDescent="0.35">
      <c r="A186" s="135" t="s">
        <v>53</v>
      </c>
      <c r="B186" s="326" t="s">
        <v>57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</row>
    <row r="187" spans="1:28" x14ac:dyDescent="0.35">
      <c r="A187" s="135" t="s">
        <v>113</v>
      </c>
      <c r="B187" s="327" t="s">
        <v>95</v>
      </c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</row>
    <row r="188" spans="1:28" x14ac:dyDescent="0.35">
      <c r="A188" s="135" t="s">
        <v>134</v>
      </c>
      <c r="B188" s="327" t="str">
        <f>+$B$26</f>
        <v>On</v>
      </c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</row>
    <row r="189" spans="1:28" x14ac:dyDescent="0.35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</row>
    <row r="190" spans="1:28" x14ac:dyDescent="0.35">
      <c r="A190" s="135" t="s">
        <v>97</v>
      </c>
      <c r="B190" s="328" t="s">
        <v>95</v>
      </c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</row>
    <row r="191" spans="1:28" x14ac:dyDescent="0.35">
      <c r="A191" s="135" t="s">
        <v>98</v>
      </c>
      <c r="B191" s="328" t="s">
        <v>95</v>
      </c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</row>
    <row r="192" spans="1:28" x14ac:dyDescent="0.35">
      <c r="A192" s="173"/>
      <c r="B192" s="182"/>
      <c r="C192" s="173"/>
      <c r="D192" s="173"/>
      <c r="E192" s="173"/>
      <c r="F192" s="173"/>
      <c r="G192" s="173"/>
      <c r="H192" s="173"/>
      <c r="I192" s="183"/>
      <c r="J192" s="183"/>
      <c r="K192" s="183"/>
      <c r="L192" s="183"/>
      <c r="M192" s="183"/>
      <c r="N192" s="183"/>
      <c r="O192" s="183"/>
      <c r="Q192" s="102"/>
    </row>
    <row r="193" spans="1:17" x14ac:dyDescent="0.35">
      <c r="A193" s="135" t="s">
        <v>100</v>
      </c>
      <c r="B193" s="184" t="str">
        <f>+$B$31</f>
        <v>FY2024</v>
      </c>
      <c r="C193" s="184" t="str">
        <f>+$C$31</f>
        <v>FY2025</v>
      </c>
      <c r="D193" s="184" t="str">
        <f>+$D$31</f>
        <v>FY2026</v>
      </c>
      <c r="E193" s="184" t="str">
        <f>+$E$31</f>
        <v>FY2027</v>
      </c>
      <c r="F193" s="184" t="str">
        <f>+$F$31</f>
        <v>FY2028</v>
      </c>
      <c r="G193" s="184" t="str">
        <f>+$G$31</f>
        <v>FY2029</v>
      </c>
      <c r="H193" s="184" t="str">
        <f>+$H$31</f>
        <v>FY2030</v>
      </c>
      <c r="I193" s="184" t="str">
        <f>CONCATENATE("FY",$AD$3+7)</f>
        <v>FY2031</v>
      </c>
      <c r="J193" s="184" t="str">
        <f>CONCATENATE("FY",$AD$3+8)</f>
        <v>FY2032</v>
      </c>
      <c r="K193" s="184" t="str">
        <f>CONCATENATE("FY",$AD$3+9)</f>
        <v>FY2033</v>
      </c>
      <c r="L193" s="184" t="str">
        <f>CONCATENATE("FY",$AD$3+10)</f>
        <v>FY2034</v>
      </c>
      <c r="M193" s="184" t="str">
        <f>CONCATENATE("FY",$AD$3+11)</f>
        <v>FY2035</v>
      </c>
      <c r="N193" s="183"/>
      <c r="O193" s="183"/>
      <c r="Q193" s="102"/>
    </row>
    <row r="194" spans="1:17" x14ac:dyDescent="0.35">
      <c r="A194" s="135" t="str">
        <f>IF(AND(B187="Contract College",B$6="Federal"),"   Contract (Federal) - Senior Personnel",IF(AND(B187="Contract College",B$6="Non-federal"),"   Contract (Non-federal) - Senior Personnel","   Endowed - Senior Personnel"))</f>
        <v xml:space="preserve">   Endowed - Senior Personnel</v>
      </c>
      <c r="B194" s="398">
        <f t="shared" ref="B194:M194" si="321">IF(AND($B187="Contract College",$B$6="Federal"),HLOOKUP(B193,FringeAndIDCRates,2,FALSE),IF(AND($B187="Contract College",$B$6="Non-Federal"),HLOOKUP(B193,FringeAndIDCRates,3,FALSE),HLOOKUP(B193,FringeAndIDCRates,4,FALSE)))</f>
        <v>0.37</v>
      </c>
      <c r="C194" s="398">
        <f t="shared" si="321"/>
        <v>0.37</v>
      </c>
      <c r="D194" s="398">
        <f t="shared" si="321"/>
        <v>0.37</v>
      </c>
      <c r="E194" s="398">
        <f t="shared" si="321"/>
        <v>0.37</v>
      </c>
      <c r="F194" s="398">
        <f t="shared" si="321"/>
        <v>0.37</v>
      </c>
      <c r="G194" s="398">
        <f t="shared" si="321"/>
        <v>0.37</v>
      </c>
      <c r="H194" s="398">
        <f t="shared" si="321"/>
        <v>0.37</v>
      </c>
      <c r="I194" s="398">
        <f t="shared" si="321"/>
        <v>0.37</v>
      </c>
      <c r="J194" s="398">
        <f t="shared" si="321"/>
        <v>0.37</v>
      </c>
      <c r="K194" s="398">
        <f t="shared" si="321"/>
        <v>0.37</v>
      </c>
      <c r="L194" s="398">
        <f t="shared" si="321"/>
        <v>0.37</v>
      </c>
      <c r="M194" s="398">
        <f t="shared" si="321"/>
        <v>0.37</v>
      </c>
      <c r="N194" s="183"/>
      <c r="O194" s="183"/>
      <c r="Q194" s="102"/>
    </row>
    <row r="195" spans="1:17" x14ac:dyDescent="0.35">
      <c r="A195" s="135" t="str">
        <f>IF(AND(B$6="Federal",B190="Contract College"),"   Contract (Federal) - Post Doc",IF(AND(B$6="Non-federal",B190="Contract College"),"   Contract (Non-federal) - Post Doc","   Endowed - Post Doc"))</f>
        <v xml:space="preserve">   Endowed - Post Doc</v>
      </c>
      <c r="B195" s="398">
        <f t="shared" ref="B195:M195" si="322">IF($B190="Endowed College",HLOOKUP(B$31,FringeAndIDCRates,4,FALSE),IF($B$6="Federal",HLOOKUP(B$31,FringeAndIDCRates,2,FALSE),IF($B$6="Non-Federal",HLOOKUP(B$31,FringeAndIDCRates,3,FALSE))))</f>
        <v>0.37</v>
      </c>
      <c r="C195" s="398">
        <f t="shared" si="322"/>
        <v>0.37</v>
      </c>
      <c r="D195" s="398">
        <f t="shared" si="322"/>
        <v>0.37</v>
      </c>
      <c r="E195" s="398">
        <f t="shared" si="322"/>
        <v>0.37</v>
      </c>
      <c r="F195" s="398">
        <f t="shared" si="322"/>
        <v>0.37</v>
      </c>
      <c r="G195" s="398">
        <f t="shared" si="322"/>
        <v>0.37</v>
      </c>
      <c r="H195" s="398">
        <f t="shared" si="322"/>
        <v>0.37</v>
      </c>
      <c r="I195" s="398">
        <f t="shared" si="322"/>
        <v>0.37</v>
      </c>
      <c r="J195" s="398">
        <f t="shared" si="322"/>
        <v>0.37</v>
      </c>
      <c r="K195" s="398">
        <f t="shared" si="322"/>
        <v>0.37</v>
      </c>
      <c r="L195" s="398">
        <f t="shared" si="322"/>
        <v>0.37</v>
      </c>
      <c r="M195" s="398">
        <f t="shared" si="322"/>
        <v>0.37</v>
      </c>
      <c r="N195" s="183"/>
      <c r="O195" s="183"/>
      <c r="Q195" s="102"/>
    </row>
    <row r="196" spans="1:17" x14ac:dyDescent="0.35">
      <c r="A196" s="135" t="str">
        <f>IF(AND(B$6="Federal",B191="Contract College"),"   Contract (Federal) - Other Employee",IF(AND(B$6="Non-federal",B191="Contract College"),"   Contract (Non-federal) - Other Empolyee","   Endowed - Other Employee"))</f>
        <v xml:space="preserve">   Endowed - Other Employee</v>
      </c>
      <c r="B196" s="398">
        <f t="shared" ref="B196:M196" si="323">IF($B191="Endowed College",HLOOKUP(B$31,FringeAndIDCRates,4,FALSE),IF($B$6="Federal",HLOOKUP(B$31,FringeAndIDCRates,2,FALSE),IF($B$6="Non-Federal",HLOOKUP(B$31,FringeAndIDCRates,3,FALSE))))</f>
        <v>0.37</v>
      </c>
      <c r="C196" s="398">
        <f t="shared" si="323"/>
        <v>0.37</v>
      </c>
      <c r="D196" s="398">
        <f t="shared" si="323"/>
        <v>0.37</v>
      </c>
      <c r="E196" s="398">
        <f t="shared" si="323"/>
        <v>0.37</v>
      </c>
      <c r="F196" s="398">
        <f t="shared" si="323"/>
        <v>0.37</v>
      </c>
      <c r="G196" s="398">
        <f t="shared" si="323"/>
        <v>0.37</v>
      </c>
      <c r="H196" s="398">
        <f t="shared" si="323"/>
        <v>0.37</v>
      </c>
      <c r="I196" s="398">
        <f t="shared" si="323"/>
        <v>0.37</v>
      </c>
      <c r="J196" s="398">
        <f t="shared" si="323"/>
        <v>0.37</v>
      </c>
      <c r="K196" s="398">
        <f t="shared" si="323"/>
        <v>0.37</v>
      </c>
      <c r="L196" s="398">
        <f t="shared" si="323"/>
        <v>0.37</v>
      </c>
      <c r="M196" s="398">
        <f t="shared" si="323"/>
        <v>0.37</v>
      </c>
      <c r="N196" s="183"/>
      <c r="O196" s="183"/>
      <c r="Q196" s="102"/>
    </row>
    <row r="197" spans="1:17" x14ac:dyDescent="0.35">
      <c r="A197" s="135" t="str">
        <f>CONCATENATE("Cornell IDC Rate - ",B187)</f>
        <v>Cornell IDC Rate - Endowed College</v>
      </c>
      <c r="B197" s="398">
        <f t="shared" ref="B197:M197" si="324">IF($B188="Off",(HLOOKUP(B$31,FringeAndIDCRates,8,FALSE)),IF(AND($B$7="Other",$B188="On"),(HLOOKUP(B$31,FringeAndIDCRates,7,FALSE)),IF(AND($B188="On",$B187="Contract College",$B$7="Research"),(HLOOKUP(B$31,FringeAndIDCRates,5,FALSE)),(HLOOKUP(B$31,FringeAndIDCRates,6,FALSE)))))</f>
        <v>0.64</v>
      </c>
      <c r="C197" s="398">
        <f t="shared" si="324"/>
        <v>0.64</v>
      </c>
      <c r="D197" s="398">
        <f t="shared" si="324"/>
        <v>0.64</v>
      </c>
      <c r="E197" s="398">
        <f t="shared" si="324"/>
        <v>0.64</v>
      </c>
      <c r="F197" s="398">
        <f t="shared" si="324"/>
        <v>0.64</v>
      </c>
      <c r="G197" s="398">
        <f t="shared" si="324"/>
        <v>0.64</v>
      </c>
      <c r="H197" s="398">
        <f t="shared" si="324"/>
        <v>0.64</v>
      </c>
      <c r="I197" s="398">
        <f t="shared" si="324"/>
        <v>0.64</v>
      </c>
      <c r="J197" s="398">
        <f t="shared" si="324"/>
        <v>0.64</v>
      </c>
      <c r="K197" s="398">
        <f t="shared" si="324"/>
        <v>0.64</v>
      </c>
      <c r="L197" s="398">
        <f t="shared" si="324"/>
        <v>0.64</v>
      </c>
      <c r="M197" s="398">
        <f t="shared" si="324"/>
        <v>0.64</v>
      </c>
      <c r="N197" s="183"/>
      <c r="O197" s="183"/>
      <c r="Q197" s="102"/>
    </row>
    <row r="198" spans="1:17" x14ac:dyDescent="0.35">
      <c r="A198" s="135" t="str">
        <f>IF($B$8="Yes","","Rate Allowed by Sponsor:")</f>
        <v/>
      </c>
      <c r="B198" s="184" t="str">
        <f t="shared" ref="B198:M198" si="325">IF($B$8="Yes","",IF($B$8="No",HLOOKUP(B$31,FringeAndIDCRates,9,FALSE),(HLOOKUP(B$31,FringeAndIDCRates,9,FALSE))))</f>
        <v/>
      </c>
      <c r="C198" s="184" t="str">
        <f t="shared" si="325"/>
        <v/>
      </c>
      <c r="D198" s="184" t="str">
        <f t="shared" si="325"/>
        <v/>
      </c>
      <c r="E198" s="184" t="str">
        <f t="shared" si="325"/>
        <v/>
      </c>
      <c r="F198" s="184" t="str">
        <f t="shared" si="325"/>
        <v/>
      </c>
      <c r="G198" s="184" t="str">
        <f t="shared" si="325"/>
        <v/>
      </c>
      <c r="H198" s="184" t="str">
        <f t="shared" si="325"/>
        <v/>
      </c>
      <c r="I198" s="184" t="str">
        <f t="shared" si="325"/>
        <v/>
      </c>
      <c r="J198" s="184" t="str">
        <f t="shared" si="325"/>
        <v/>
      </c>
      <c r="K198" s="184" t="str">
        <f t="shared" si="325"/>
        <v/>
      </c>
      <c r="L198" s="184" t="str">
        <f t="shared" si="325"/>
        <v/>
      </c>
      <c r="M198" s="184" t="str">
        <f t="shared" si="325"/>
        <v/>
      </c>
      <c r="N198" s="237"/>
      <c r="O198" s="237"/>
      <c r="Q198" s="102"/>
    </row>
    <row r="199" spans="1:17" x14ac:dyDescent="0.35">
      <c r="B199" s="53"/>
      <c r="C199" s="53"/>
      <c r="D199" s="53"/>
      <c r="E199" s="53"/>
      <c r="F199" s="53"/>
      <c r="G199" s="53"/>
      <c r="H199" s="53"/>
    </row>
    <row r="200" spans="1:17" ht="20" x14ac:dyDescent="0.4">
      <c r="A200" s="40" t="s">
        <v>55</v>
      </c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</row>
    <row r="201" spans="1:17" ht="15.5" x14ac:dyDescent="0.35">
      <c r="A201" s="105" t="s">
        <v>87</v>
      </c>
      <c r="B201" s="106" t="str">
        <f>IF(B204=$AE$5,$AE$8,IF(B204=$AF$5,$AF$8,IF(B204=$AG$5,$AG$8,IF(B204=$AH$5,$AH$8,IF(B204=$AI$5,$AI$8,IF(B204=$AJ$5,$AJ$8,IF(B204=$AK$5,$AK$8,IF(B204=$AL$5,$AL$8,IF(B204=$AM$5,$AM$8,IF(B204=$AN$5,$AN$8,IF(B204=$AO$5,$AO$8,IF(B204=$AP$5,$AP$8," "))))))))))))</f>
        <v xml:space="preserve"> </v>
      </c>
      <c r="C201" s="106" t="str">
        <f t="shared" ref="C201:M201" si="326">IF(C204=$AE$5,$AE$8,IF(C204=$AF$5,$AF$8,IF(C204=$AG$5,$AG$8,IF(C204=$AH$5,$AH$8,IF(C204=$AI$5,$AI$8,IF(C204=$AJ$5,$AJ$8,IF(C204=$AK$5,$AK$8,IF(C204=$AL$5,$AL$8,IF(C204=$AM$5,$AM$8,IF(C204=$AN$5,$AN$8,IF(C204=$AO$5,$AO$8,IF(C204=$AP$5,$AP$8," "))))))))))))</f>
        <v>2023-2024</v>
      </c>
      <c r="D201" s="106" t="str">
        <f t="shared" si="326"/>
        <v>2024-2025</v>
      </c>
      <c r="E201" s="106" t="str">
        <f t="shared" si="326"/>
        <v>2025-2026</v>
      </c>
      <c r="F201" s="106" t="str">
        <f t="shared" si="326"/>
        <v>2026-2027</v>
      </c>
      <c r="G201" s="106" t="str">
        <f t="shared" si="326"/>
        <v>2027-2028</v>
      </c>
      <c r="H201" s="106" t="str">
        <f t="shared" si="326"/>
        <v>2028-2029</v>
      </c>
      <c r="I201" s="106" t="str">
        <f t="shared" si="326"/>
        <v>2029-2030</v>
      </c>
      <c r="J201" s="106" t="str">
        <f t="shared" si="326"/>
        <v>2030-2031</v>
      </c>
      <c r="K201" s="106" t="str">
        <f t="shared" si="326"/>
        <v>2031-2032</v>
      </c>
      <c r="L201" s="106" t="str">
        <f t="shared" si="326"/>
        <v>2032-2033</v>
      </c>
      <c r="M201" s="106" t="str">
        <f t="shared" si="326"/>
        <v>2033-2034</v>
      </c>
      <c r="N201" s="106" t="str">
        <f t="shared" ref="N201" si="327">IF(N204=$AE$5,$AE$8,IF(N204=$AF$5,$AF$8,IF(N204=$AG$5,$AG$8,IF(N204=$AH$5,$AH$8,IF(N204=$AI$5,$AI$8,IF(N204=$AJ$5,$AJ$8,IF(N204=$AK$5,$AK$8,IF(N204=$AL$5,$AL$8,IF(N204=$AM$5,$AM$8,IF(N204=$AN$5,$AN$8,IF(N204=$AO$5,$AO$8,IF(N204=$AP$5,$AP$8," "))))))))))))</f>
        <v>2034-2035</v>
      </c>
    </row>
    <row r="203" spans="1:17" x14ac:dyDescent="0.35">
      <c r="A203" s="169" t="str">
        <f>CONCATENATE("Calculation based on ",O205," month salary")</f>
        <v>Calculation based on 9 month salary</v>
      </c>
      <c r="B203" s="104" t="str">
        <f t="shared" ref="B203:L203" si="328">IF(AND(B204=$AE$5,$O205=9),$AE$3,IF(AND(B204=$AF$5,$O205=9),$AF$3,IF(AND(B204=$AG$5,$O205=9),$AG$3,IF(AND(B204=$AH$5,$O205=9),$AH$3,IF(AND(B204=$AI$5,$O205=9),$AI$3,IF(AND(B204=$AJ$5,$O205=9),$AJ$3,IF(AND(B204=$AK$5,$O205=9),$AK$3,IF(AND(B204=$AL$5,$O205=9),$AL$3,IF(AND(B204=$AM$5,$O205=9),$AM$3,IF(AND(B204=$AN$5,$O205=9),$AN$3,IF(AND(B204=$AO$5,$O205=9),$AO$3,IF(AND(B204=$AP$5,$O205=9),$AJ$3,IF(AND(B204=$AE$4,$O205=12),$AE$3,IF(AND(B204=$AF$4,$O205=12),$AF$3,IF(AND(B204=$AG$4,$O205=12),$AG$3,IF(AND(B204=$AH$4,$O205=12),$AH$3,IF(AND(B204=$AI$4,$O205=12),$AI$3,IF(AND(B204=$AJ$4,$O205=12),$AJ$3,IF(AND(B204=$AK$4,$O205=12),$AK$3,IF(AND(B204=$AL$4,$O205=12),$AL$3,IF(AND(B204=$AM$4,$O205=12),$AM$3,IF(AND(B204=$AN$4,$O205=12),$AN$3,IF(AND(B204=$AO$4,$O205=12),$AO$3,IF(AND(B204=$AP$4,$O205=12),$AJ$3," "))))))))))))))))))))))))</f>
        <v xml:space="preserve"> </v>
      </c>
      <c r="C203" s="104" t="str">
        <f t="shared" si="328"/>
        <v>Year 1</v>
      </c>
      <c r="D203" s="104" t="str">
        <f t="shared" si="328"/>
        <v>Year 2</v>
      </c>
      <c r="E203" s="104" t="str">
        <f t="shared" si="328"/>
        <v>Year 3</v>
      </c>
      <c r="F203" s="104" t="str">
        <f t="shared" si="328"/>
        <v>Year 4</v>
      </c>
      <c r="G203" s="104" t="str">
        <f t="shared" si="328"/>
        <v>Year 5</v>
      </c>
      <c r="H203" s="104" t="str">
        <f t="shared" si="328"/>
        <v>Year 6</v>
      </c>
      <c r="I203" s="104" t="str">
        <f t="shared" si="328"/>
        <v>Year 7</v>
      </c>
      <c r="J203" s="104" t="str">
        <f t="shared" si="328"/>
        <v>Year 8</v>
      </c>
      <c r="K203" s="104" t="str">
        <f t="shared" si="328"/>
        <v>Year 9</v>
      </c>
      <c r="L203" s="104" t="str">
        <f t="shared" si="328"/>
        <v>Year 10</v>
      </c>
      <c r="M203" s="104" t="str">
        <f>IF(AND(M204=$AE$5,$O205=9),$AE$3,IF(AND(M204=$AF$5,$O205=9),$AF$3,IF(AND(M204=$AG$5,$O205=9),$AG$3,IF(AND(M204=$AH$5,$O205=9),$AH$3,IF(AND(M204=$AI$5,$O205=9),$AI$3,IF(AND(M204=$AJ$5,$O205=9),$AJ$3,IF(AND(M204=$AK$5,$O205=9),$AK$3,IF(AND(M204=$AL$5,$O205=9),$AL$3,IF(AND(M204=$AM$5,$O205=9),$AM$3,IF(AND(M204=$AN$5,$O205=9),$AN$3,IF(AND(M204=$AO$5,$O205=9),$AO$3,IF(AND(M204=$AP$5,$O205=9),$AP$3,IF(AND(M204=$AQ$5,$O205=9),$AJ$3,IF(AND(M204=$AE$4,$O205=12),$AE$3,IF(AND(M204=$AF$4,$O205=12),$AF$3,IF(AND(M204=$AG$4,$O205=12),$AG$3,IF(AND(M204=$AH$4,$O205=12),$AH$3,IF(AND(M204=$AI$4,$O205=12),$AI$3,IF(AND(M204=$AJ$4,$O205=12),$AJ$3,IF(AND(M204=$AK$4,$O205=12),$AK$3,IF(AND(M204=$AL$4,$O205=12),$AL$3,IF(AND(M204=$AM$4,$O205=12),$AM$3,IF(AND(M204=$AN$4,$O205=12),$AN$3,IF(AND(M204=$AO$4,$O205=12),$AO$3,IF(AND(M204=$AP$4,$O205=12),$AP$3,IF(AND(M204=$AQ$4,$O205=12),$AJ$3," "))))))))))))))))))))))))))</f>
        <v>Year 11</v>
      </c>
      <c r="N203" s="104" t="str">
        <f>IF(AND(N204=$AE$5,$O205=9),$AE$3,IF(AND(N204=$AF$5,$O205=9),$AF$3,IF(AND(N204=$AG$5,$O205=9),$AG$3,IF(AND(N204=$AH$5,$O205=9),$AH$3,IF(AND(N204=$AI$5,$O205=9),$AI$3,IF(AND(N204=$AJ$5,$O205=9),$AJ$3,IF(AND(N204=$AK$5,$O205=9),$AK$3,IF(AND(N204=$AL$5,$O205=9),$AL$3,IF(AND(N204=$AM$5,$O205=9),$AM$3,IF(AND(N204=$AN$5,$O205=9),$AN$3,IF(AND(N204=$AO$5,$O205=9),$AO$3,IF(AND(N204=$AP$5,$O205=9),$AP$3,IF(AND(N204=$AQ$5,$O205=9),$AJ$3,IF(AND(N204=$AE$4,$O205=12),$AE$3,IF(AND(N204=$AF$4,$O205=12),$AF$3,IF(AND(N204=$AG$4,$O205=12),$AG$3,IF(AND(N204=$AH$4,$O205=12),$AH$3,IF(AND(N204=$AI$4,$O205=12),$AI$3,IF(AND(N204=$AJ$4,$O205=12),$AJ$3,IF(AND(N204=$AK$4,$O205=12),$AK$3,IF(AND(N204=$AL$4,$O205=12),$AL$3,IF(AND(N204=$AM$4,$O205=12),$AM$3,IF(AND(N204=$AN$4,$O205=12),$AN$3,IF(AND(N204=$AO$4,$O205=12),$AO$3,IF(AND(N204=$AP$4,$O205=12),$AP$3,IF(AND(N204=$AQ$4,$O205=12),$AJ$3," "))))))))))))))))))))))))))</f>
        <v>Year 12</v>
      </c>
    </row>
    <row r="204" spans="1:17" x14ac:dyDescent="0.35">
      <c r="A204" s="170" t="str">
        <f>+B184</f>
        <v>Co-PI</v>
      </c>
      <c r="B204" s="55" t="str">
        <f t="shared" ref="B204:I204" si="329">+N$2</f>
        <v>FY2023</v>
      </c>
      <c r="C204" s="55" t="str">
        <f t="shared" si="329"/>
        <v>FY2024</v>
      </c>
      <c r="D204" s="55" t="str">
        <f t="shared" si="329"/>
        <v>FY2025</v>
      </c>
      <c r="E204" s="55" t="str">
        <f t="shared" si="329"/>
        <v>FY2026</v>
      </c>
      <c r="F204" s="55" t="str">
        <f t="shared" si="329"/>
        <v>FY2027</v>
      </c>
      <c r="G204" s="55" t="str">
        <f t="shared" si="329"/>
        <v>FY2028</v>
      </c>
      <c r="H204" s="55" t="str">
        <f t="shared" si="329"/>
        <v>FY2029</v>
      </c>
      <c r="I204" s="55" t="str">
        <f t="shared" si="329"/>
        <v>FY2030</v>
      </c>
      <c r="J204" s="55" t="str">
        <f t="shared" ref="J204" si="330">+V$2</f>
        <v>FY2031</v>
      </c>
      <c r="K204" s="55" t="str">
        <f t="shared" ref="K204" si="331">+W$2</f>
        <v>FY2032</v>
      </c>
      <c r="L204" s="55" t="str">
        <f t="shared" ref="L204" si="332">+X$2</f>
        <v>FY2033</v>
      </c>
      <c r="M204" s="55" t="str">
        <f t="shared" ref="M204:N204" si="333">+Y$2</f>
        <v>FY2034</v>
      </c>
      <c r="N204" s="55" t="str">
        <f t="shared" si="333"/>
        <v>FY2035</v>
      </c>
      <c r="O204" s="32" t="s">
        <v>20</v>
      </c>
      <c r="P204" s="89" t="s">
        <v>64</v>
      </c>
      <c r="Q204" s="89"/>
    </row>
    <row r="205" spans="1:17" x14ac:dyDescent="0.35">
      <c r="A205" s="171" t="str">
        <f>CONCATENATE("Base Salary: ",O205," month term")</f>
        <v>Base Salary: 9 month term</v>
      </c>
      <c r="B205" s="385">
        <v>0</v>
      </c>
      <c r="C205" s="386">
        <f t="shared" ref="C205:N205" si="334">ROUND(+B205*(1+$P$205),0)</f>
        <v>0</v>
      </c>
      <c r="D205" s="386">
        <f t="shared" si="334"/>
        <v>0</v>
      </c>
      <c r="E205" s="386">
        <f t="shared" si="334"/>
        <v>0</v>
      </c>
      <c r="F205" s="386">
        <f t="shared" si="334"/>
        <v>0</v>
      </c>
      <c r="G205" s="386">
        <f t="shared" si="334"/>
        <v>0</v>
      </c>
      <c r="H205" s="386">
        <f t="shared" si="334"/>
        <v>0</v>
      </c>
      <c r="I205" s="386">
        <f t="shared" si="334"/>
        <v>0</v>
      </c>
      <c r="J205" s="386">
        <f t="shared" si="334"/>
        <v>0</v>
      </c>
      <c r="K205" s="386">
        <f t="shared" si="334"/>
        <v>0</v>
      </c>
      <c r="L205" s="386">
        <f t="shared" si="334"/>
        <v>0</v>
      </c>
      <c r="M205" s="386">
        <f t="shared" si="334"/>
        <v>0</v>
      </c>
      <c r="N205" s="386">
        <f t="shared" si="334"/>
        <v>0</v>
      </c>
      <c r="O205" s="311">
        <v>9</v>
      </c>
      <c r="P205" s="312">
        <v>0.03</v>
      </c>
      <c r="Q205" s="52"/>
    </row>
    <row r="206" spans="1:17" x14ac:dyDescent="0.35">
      <c r="A206" s="171" t="s">
        <v>44</v>
      </c>
      <c r="B206" s="313">
        <v>0</v>
      </c>
      <c r="C206" s="313">
        <v>0</v>
      </c>
      <c r="D206" s="313">
        <v>0</v>
      </c>
      <c r="E206" s="313">
        <v>0</v>
      </c>
      <c r="F206" s="313">
        <v>0</v>
      </c>
      <c r="G206" s="313">
        <v>0</v>
      </c>
      <c r="H206" s="313">
        <v>0</v>
      </c>
      <c r="I206" s="313">
        <v>0</v>
      </c>
      <c r="J206" s="313">
        <v>0</v>
      </c>
      <c r="K206" s="313">
        <v>0</v>
      </c>
      <c r="L206" s="313">
        <v>0</v>
      </c>
      <c r="M206" s="313">
        <v>0</v>
      </c>
      <c r="N206" s="313">
        <v>0</v>
      </c>
      <c r="O206" s="25"/>
      <c r="P206" s="25"/>
      <c r="Q206" s="25"/>
    </row>
    <row r="207" spans="1:17" x14ac:dyDescent="0.35">
      <c r="A207" s="171" t="str">
        <f>CONCATENATE("FTE for ",O205," Months")</f>
        <v>FTE for 9 Months</v>
      </c>
      <c r="B207" s="395">
        <f t="shared" ref="B207:M207" si="335">+B206/$O205</f>
        <v>0</v>
      </c>
      <c r="C207" s="395">
        <f t="shared" si="335"/>
        <v>0</v>
      </c>
      <c r="D207" s="395">
        <f t="shared" si="335"/>
        <v>0</v>
      </c>
      <c r="E207" s="395">
        <f t="shared" si="335"/>
        <v>0</v>
      </c>
      <c r="F207" s="395">
        <f t="shared" si="335"/>
        <v>0</v>
      </c>
      <c r="G207" s="395">
        <f t="shared" si="335"/>
        <v>0</v>
      </c>
      <c r="H207" s="395">
        <f t="shared" si="335"/>
        <v>0</v>
      </c>
      <c r="I207" s="395">
        <f t="shared" si="335"/>
        <v>0</v>
      </c>
      <c r="J207" s="395">
        <f t="shared" si="335"/>
        <v>0</v>
      </c>
      <c r="K207" s="395">
        <f t="shared" si="335"/>
        <v>0</v>
      </c>
      <c r="L207" s="395">
        <f t="shared" si="335"/>
        <v>0</v>
      </c>
      <c r="M207" s="395">
        <f t="shared" si="335"/>
        <v>0</v>
      </c>
      <c r="N207" s="395">
        <f t="shared" ref="N207" si="336">+N206/$O205</f>
        <v>0</v>
      </c>
      <c r="O207" s="89"/>
      <c r="P207" s="89"/>
      <c r="Q207" s="89"/>
    </row>
    <row r="208" spans="1:17" x14ac:dyDescent="0.35">
      <c r="A208" s="172" t="s">
        <v>56</v>
      </c>
      <c r="B208" s="396">
        <f t="shared" ref="B208:I208" si="337">+B206/12</f>
        <v>0</v>
      </c>
      <c r="C208" s="396">
        <f t="shared" si="337"/>
        <v>0</v>
      </c>
      <c r="D208" s="396">
        <f t="shared" si="337"/>
        <v>0</v>
      </c>
      <c r="E208" s="396">
        <f t="shared" si="337"/>
        <v>0</v>
      </c>
      <c r="F208" s="396">
        <f t="shared" si="337"/>
        <v>0</v>
      </c>
      <c r="G208" s="396">
        <f t="shared" si="337"/>
        <v>0</v>
      </c>
      <c r="H208" s="396">
        <f t="shared" ref="H208" si="338">+H206/12</f>
        <v>0</v>
      </c>
      <c r="I208" s="396">
        <f t="shared" si="337"/>
        <v>0</v>
      </c>
      <c r="J208" s="396">
        <f t="shared" ref="J208:L208" si="339">+J206/12</f>
        <v>0</v>
      </c>
      <c r="K208" s="396">
        <f t="shared" si="339"/>
        <v>0</v>
      </c>
      <c r="L208" s="396">
        <f t="shared" si="339"/>
        <v>0</v>
      </c>
      <c r="M208" s="396">
        <f t="shared" ref="M208:N208" si="340">+M206/12</f>
        <v>0</v>
      </c>
      <c r="N208" s="396">
        <f t="shared" si="340"/>
        <v>0</v>
      </c>
      <c r="O208" s="89"/>
      <c r="P208" s="89"/>
      <c r="Q208" s="89"/>
    </row>
    <row r="209" spans="1:32" x14ac:dyDescent="0.35">
      <c r="A209" s="171" t="s">
        <v>21</v>
      </c>
      <c r="B209" s="110">
        <f t="shared" ref="B209:K209" si="341">IF($O205=9,ROUND(B205*B207,0),IF($O205=12,ROUND((B205*B207*$Q$35)+(C205*B207*$Q$36),0),0))</f>
        <v>0</v>
      </c>
      <c r="C209" s="110">
        <f t="shared" si="341"/>
        <v>0</v>
      </c>
      <c r="D209" s="110">
        <f t="shared" si="341"/>
        <v>0</v>
      </c>
      <c r="E209" s="110">
        <f t="shared" si="341"/>
        <v>0</v>
      </c>
      <c r="F209" s="110">
        <f t="shared" si="341"/>
        <v>0</v>
      </c>
      <c r="G209" s="110">
        <f t="shared" si="341"/>
        <v>0</v>
      </c>
      <c r="H209" s="110">
        <f t="shared" si="341"/>
        <v>0</v>
      </c>
      <c r="I209" s="110">
        <f t="shared" si="341"/>
        <v>0</v>
      </c>
      <c r="J209" s="110">
        <f t="shared" si="341"/>
        <v>0</v>
      </c>
      <c r="K209" s="110">
        <f t="shared" si="341"/>
        <v>0</v>
      </c>
      <c r="L209" s="110">
        <f>IF($O205=9,ROUND(L205*L207,0),IF($O205=12,ROUND((L205*L207*$Q$35)+(N205*L207*$Q$36),0),0))</f>
        <v>0</v>
      </c>
      <c r="M209" s="110">
        <f>IF($O205=9,ROUND(M205*M207,0),IF($O205=12,ROUND((M205*M207*$Q$35)+(O205*M207*$Q$36),0),0))</f>
        <v>0</v>
      </c>
      <c r="N209" s="110">
        <f>IF($O205=9,ROUND(N205*N207,0),IF($O205=12,ROUND((N205*N207*$Q$35)+(P205*N207*$Q$36),0),0))</f>
        <v>0</v>
      </c>
      <c r="O209" s="89"/>
      <c r="P209" s="89"/>
      <c r="Q209" s="89"/>
    </row>
    <row r="210" spans="1:32" x14ac:dyDescent="0.35">
      <c r="A210" s="173"/>
      <c r="O210" s="89"/>
      <c r="P210" s="89"/>
      <c r="Q210" s="89"/>
    </row>
    <row r="211" spans="1:32" x14ac:dyDescent="0.35">
      <c r="A211" s="169" t="str">
        <f>CONCATENATE("Calculation based on ",O213," month salary")</f>
        <v>Calculation based on 9 month salary</v>
      </c>
      <c r="B211" s="104" t="str">
        <f t="shared" ref="B211:L211" si="342">IF(AND(B212=$AE$5,$O213=9),$AE$3,IF(AND(B212=$AF$5,$O213=9),$AF$3,IF(AND(B212=$AG$5,$O213=9),$AG$3,IF(AND(B212=$AH$5,$O213=9),$AH$3,IF(AND(B212=$AI$5,$O213=9),$AI$3,IF(AND(B212=$AJ$5,$O213=9),$AJ$3,IF(AND(B212=$AK$5,$O213=9),$AK$3,IF(AND(B212=$AL$5,$O213=9),$AL$3,IF(AND(B212=$AM$5,$O213=9),$AM$3,IF(AND(B212=$AN$5,$O213=9),$AN$3,IF(AND(B212=$AO$5,$O213=9),$AO$3,IF(AND(B212=$AP$5,$O213=9),$AJ$3,IF(AND(B212=$AE$4,$O213=12),$AE$3,IF(AND(B212=$AF$4,$O213=12),$AF$3,IF(AND(B212=$AG$4,$O213=12),$AG$3,IF(AND(B212=$AH$4,$O213=12),$AH$3,IF(AND(B212=$AI$4,$O213=12),$AI$3,IF(AND(B212=$AJ$4,$O213=12),$AJ$3,IF(AND(B212=$AK$4,$O213=12),$AK$3,IF(AND(B212=$AL$4,$O213=12),$AL$3,IF(AND(B212=$AM$4,$O213=12),$AM$3,IF(AND(B212=$AN$4,$O213=12),$AN$3,IF(AND(B212=$AO$4,$O213=12),$AO$3,IF(AND(B212=$AP$4,$O213=12),$AJ$3," "))))))))))))))))))))))))</f>
        <v xml:space="preserve"> </v>
      </c>
      <c r="C211" s="104" t="str">
        <f t="shared" si="342"/>
        <v>Year 1</v>
      </c>
      <c r="D211" s="104" t="str">
        <f t="shared" si="342"/>
        <v>Year 2</v>
      </c>
      <c r="E211" s="104" t="str">
        <f t="shared" si="342"/>
        <v>Year 3</v>
      </c>
      <c r="F211" s="104" t="str">
        <f t="shared" si="342"/>
        <v>Year 4</v>
      </c>
      <c r="G211" s="104" t="str">
        <f t="shared" si="342"/>
        <v>Year 5</v>
      </c>
      <c r="H211" s="104" t="str">
        <f t="shared" si="342"/>
        <v>Year 6</v>
      </c>
      <c r="I211" s="104" t="str">
        <f t="shared" si="342"/>
        <v>Year 7</v>
      </c>
      <c r="J211" s="104" t="str">
        <f t="shared" si="342"/>
        <v>Year 8</v>
      </c>
      <c r="K211" s="104" t="str">
        <f t="shared" si="342"/>
        <v>Year 9</v>
      </c>
      <c r="L211" s="104" t="str">
        <f t="shared" si="342"/>
        <v>Year 10</v>
      </c>
      <c r="M211" s="104" t="str">
        <f>IF(AND(M212=$AE$5,$O213=9),$AE$3,IF(AND(M212=$AF$5,$O213=9),$AF$3,IF(AND(M212=$AG$5,$O213=9),$AG$3,IF(AND(M212=$AH$5,$O213=9),$AH$3,IF(AND(M212=$AI$5,$O213=9),$AI$3,IF(AND(M212=$AJ$5,$O213=9),$AJ$3,IF(AND(M212=$AK$5,$O213=9),$AK$3,IF(AND(M212=$AL$5,$O213=9),$AL$3,IF(AND(M212=$AM$5,$O213=9),$AM$3,IF(AND(M212=$AN$5,$O213=9),$AN$3,IF(AND(M212=$AO$5,$O213=9),$AO$3,IF(AND(M212=$AP$5,$O213=9),$AP$3,IF(AND(M212=$AQ$5,$O213=9),$AJ$3,IF(AND(M212=$AE$4,$O213=12),$AE$3,IF(AND(M212=$AF$4,$O213=12),$AF$3,IF(AND(M212=$AG$4,$O213=12),$AG$3,IF(AND(M212=$AH$4,$O213=12),$AH$3,IF(AND(M212=$AI$4,$O213=12),$AI$3,IF(AND(M212=$AJ$4,$O213=12),$AJ$3,IF(AND(M212=$AK$4,$O213=12),$AK$3,IF(AND(M212=$AL$4,$O213=12),$AL$3,IF(AND(M212=$AM$4,$O213=12),$AM$3,IF(AND(M212=$AN$4,$O213=12),$AN$3,IF(AND(M212=$AO$4,$O213=12),$AO$3,IF(AND(M212=$AP$4,$O213=12),$AP$3,IF(AND(M212=$AQ$4,$O213=12),$AJ$3," "))))))))))))))))))))))))))</f>
        <v>Year 11</v>
      </c>
      <c r="N211" s="104" t="str">
        <f>IF(AND(N212=$AE$5,$O213=9),$AE$3,IF(AND(N212=$AF$5,$O213=9),$AF$3,IF(AND(N212=$AG$5,$O213=9),$AG$3,IF(AND(N212=$AH$5,$O213=9),$AH$3,IF(AND(N212=$AI$5,$O213=9),$AI$3,IF(AND(N212=$AJ$5,$O213=9),$AJ$3,IF(AND(N212=$AK$5,$O213=9),$AK$3,IF(AND(N212=$AL$5,$O213=9),$AL$3,IF(AND(N212=$AM$5,$O213=9),$AM$3,IF(AND(N212=$AN$5,$O213=9),$AN$3,IF(AND(N212=$AO$5,$O213=9),$AO$3,IF(AND(N212=$AP$5,$O213=9),$AP$3,IF(AND(N212=$AQ$5,$O213=9),$AJ$3,IF(AND(N212=$AE$4,$O213=12),$AE$3,IF(AND(N212=$AF$4,$O213=12),$AF$3,IF(AND(N212=$AG$4,$O213=12),$AG$3,IF(AND(N212=$AH$4,$O213=12),$AH$3,IF(AND(N212=$AI$4,$O213=12),$AI$3,IF(AND(N212=$AJ$4,$O213=12),$AJ$3,IF(AND(N212=$AK$4,$O213=12),$AK$3,IF(AND(N212=$AL$4,$O213=12),$AL$3,IF(AND(N212=$AM$4,$O213=12),$AM$3,IF(AND(N212=$AN$4,$O213=12),$AN$3,IF(AND(N212=$AO$4,$O213=12),$AO$3,IF(AND(N212=$AP$4,$O213=12),$AP$3,IF(AND(N212=$AQ$4,$O213=12),$AJ$3," "))))))))))))))))))))))))))</f>
        <v>Year 12</v>
      </c>
      <c r="O211" s="89"/>
      <c r="P211" s="89"/>
      <c r="Q211" s="89"/>
      <c r="V211" s="23"/>
    </row>
    <row r="212" spans="1:32" x14ac:dyDescent="0.35">
      <c r="A212" s="170" t="str">
        <f>+B185</f>
        <v>Co-PI</v>
      </c>
      <c r="B212" s="55" t="str">
        <f t="shared" ref="B212:I212" si="343">+N$2</f>
        <v>FY2023</v>
      </c>
      <c r="C212" s="55" t="str">
        <f t="shared" si="343"/>
        <v>FY2024</v>
      </c>
      <c r="D212" s="55" t="str">
        <f t="shared" si="343"/>
        <v>FY2025</v>
      </c>
      <c r="E212" s="55" t="str">
        <f t="shared" si="343"/>
        <v>FY2026</v>
      </c>
      <c r="F212" s="55" t="str">
        <f t="shared" si="343"/>
        <v>FY2027</v>
      </c>
      <c r="G212" s="55" t="str">
        <f t="shared" si="343"/>
        <v>FY2028</v>
      </c>
      <c r="H212" s="55" t="str">
        <f t="shared" si="343"/>
        <v>FY2029</v>
      </c>
      <c r="I212" s="55" t="str">
        <f t="shared" si="343"/>
        <v>FY2030</v>
      </c>
      <c r="J212" s="55" t="str">
        <f t="shared" ref="J212" si="344">+V$2</f>
        <v>FY2031</v>
      </c>
      <c r="K212" s="55" t="str">
        <f t="shared" ref="K212" si="345">+W$2</f>
        <v>FY2032</v>
      </c>
      <c r="L212" s="55" t="str">
        <f t="shared" ref="L212" si="346">+X$2</f>
        <v>FY2033</v>
      </c>
      <c r="M212" s="55" t="str">
        <f t="shared" ref="M212:N212" si="347">+Y$2</f>
        <v>FY2034</v>
      </c>
      <c r="N212" s="55" t="str">
        <f t="shared" si="347"/>
        <v>FY2035</v>
      </c>
      <c r="O212" s="32" t="s">
        <v>20</v>
      </c>
      <c r="P212" s="89" t="s">
        <v>64</v>
      </c>
      <c r="Q212" s="89"/>
      <c r="V212" s="23"/>
    </row>
    <row r="213" spans="1:32" x14ac:dyDescent="0.35">
      <c r="A213" s="171" t="str">
        <f>CONCATENATE("Base Salary: ",O213," month term")</f>
        <v>Base Salary: 9 month term</v>
      </c>
      <c r="B213" s="385">
        <v>0</v>
      </c>
      <c r="C213" s="386">
        <f t="shared" ref="C213:N213" si="348">ROUND(+B213*(1+$P$213),0)</f>
        <v>0</v>
      </c>
      <c r="D213" s="386">
        <f t="shared" si="348"/>
        <v>0</v>
      </c>
      <c r="E213" s="386">
        <f t="shared" si="348"/>
        <v>0</v>
      </c>
      <c r="F213" s="386">
        <f t="shared" si="348"/>
        <v>0</v>
      </c>
      <c r="G213" s="386">
        <f t="shared" si="348"/>
        <v>0</v>
      </c>
      <c r="H213" s="386">
        <f t="shared" si="348"/>
        <v>0</v>
      </c>
      <c r="I213" s="386">
        <f t="shared" si="348"/>
        <v>0</v>
      </c>
      <c r="J213" s="386">
        <f t="shared" si="348"/>
        <v>0</v>
      </c>
      <c r="K213" s="386">
        <f t="shared" si="348"/>
        <v>0</v>
      </c>
      <c r="L213" s="386">
        <f t="shared" si="348"/>
        <v>0</v>
      </c>
      <c r="M213" s="386">
        <f t="shared" si="348"/>
        <v>0</v>
      </c>
      <c r="N213" s="386">
        <f t="shared" si="348"/>
        <v>0</v>
      </c>
      <c r="O213" s="311">
        <v>9</v>
      </c>
      <c r="P213" s="312">
        <v>0.03</v>
      </c>
      <c r="Q213" s="52"/>
      <c r="V213" s="23"/>
    </row>
    <row r="214" spans="1:32" x14ac:dyDescent="0.35">
      <c r="A214" s="171" t="s">
        <v>44</v>
      </c>
      <c r="B214" s="313">
        <v>0</v>
      </c>
      <c r="C214" s="313">
        <v>0</v>
      </c>
      <c r="D214" s="313">
        <v>0</v>
      </c>
      <c r="E214" s="313">
        <v>0</v>
      </c>
      <c r="F214" s="313">
        <v>0</v>
      </c>
      <c r="G214" s="313">
        <v>0</v>
      </c>
      <c r="H214" s="313">
        <v>0</v>
      </c>
      <c r="I214" s="313">
        <v>0</v>
      </c>
      <c r="J214" s="313">
        <v>0</v>
      </c>
      <c r="K214" s="313">
        <v>0</v>
      </c>
      <c r="L214" s="313">
        <v>0</v>
      </c>
      <c r="M214" s="313">
        <v>0</v>
      </c>
      <c r="N214" s="313">
        <v>0</v>
      </c>
      <c r="O214" s="25"/>
      <c r="P214" s="25"/>
      <c r="Q214" s="25"/>
    </row>
    <row r="215" spans="1:32" x14ac:dyDescent="0.35">
      <c r="A215" s="171" t="str">
        <f>CONCATENATE("FTE for ",O213," Months")</f>
        <v>FTE for 9 Months</v>
      </c>
      <c r="B215" s="395">
        <f t="shared" ref="B215:M215" si="349">+B214/$O213</f>
        <v>0</v>
      </c>
      <c r="C215" s="395">
        <f t="shared" si="349"/>
        <v>0</v>
      </c>
      <c r="D215" s="395">
        <f t="shared" si="349"/>
        <v>0</v>
      </c>
      <c r="E215" s="395">
        <f t="shared" si="349"/>
        <v>0</v>
      </c>
      <c r="F215" s="395">
        <f t="shared" si="349"/>
        <v>0</v>
      </c>
      <c r="G215" s="395">
        <f t="shared" si="349"/>
        <v>0</v>
      </c>
      <c r="H215" s="395">
        <f t="shared" si="349"/>
        <v>0</v>
      </c>
      <c r="I215" s="395">
        <f t="shared" si="349"/>
        <v>0</v>
      </c>
      <c r="J215" s="395">
        <f t="shared" si="349"/>
        <v>0</v>
      </c>
      <c r="K215" s="395">
        <f t="shared" si="349"/>
        <v>0</v>
      </c>
      <c r="L215" s="395">
        <f t="shared" si="349"/>
        <v>0</v>
      </c>
      <c r="M215" s="395">
        <f t="shared" si="349"/>
        <v>0</v>
      </c>
      <c r="N215" s="395">
        <f t="shared" ref="N215" si="350">+N214/$O213</f>
        <v>0</v>
      </c>
      <c r="O215" s="89"/>
      <c r="P215" s="89"/>
      <c r="Q215" s="89"/>
    </row>
    <row r="216" spans="1:32" x14ac:dyDescent="0.35">
      <c r="A216" s="172" t="s">
        <v>56</v>
      </c>
      <c r="B216" s="396">
        <f>+B214/12</f>
        <v>0</v>
      </c>
      <c r="C216" s="396">
        <f>+C214/12</f>
        <v>0</v>
      </c>
      <c r="D216" s="396">
        <f t="shared" ref="D216:F216" si="351">+D214/12</f>
        <v>0</v>
      </c>
      <c r="E216" s="396">
        <f t="shared" si="351"/>
        <v>0</v>
      </c>
      <c r="F216" s="396">
        <f t="shared" si="351"/>
        <v>0</v>
      </c>
      <c r="G216" s="396">
        <f t="shared" ref="G216:L216" si="352">+G214/12</f>
        <v>0</v>
      </c>
      <c r="H216" s="396">
        <f t="shared" si="352"/>
        <v>0</v>
      </c>
      <c r="I216" s="396">
        <f t="shared" si="352"/>
        <v>0</v>
      </c>
      <c r="J216" s="396">
        <f t="shared" si="352"/>
        <v>0</v>
      </c>
      <c r="K216" s="396">
        <f t="shared" si="352"/>
        <v>0</v>
      </c>
      <c r="L216" s="396">
        <f t="shared" si="352"/>
        <v>0</v>
      </c>
      <c r="M216" s="396">
        <f t="shared" ref="M216:N216" si="353">+M214/12</f>
        <v>0</v>
      </c>
      <c r="N216" s="396">
        <f t="shared" si="353"/>
        <v>0</v>
      </c>
      <c r="O216" s="89"/>
      <c r="P216" s="89"/>
      <c r="Q216" s="89"/>
    </row>
    <row r="217" spans="1:32" x14ac:dyDescent="0.35">
      <c r="A217" s="171" t="s">
        <v>21</v>
      </c>
      <c r="B217" s="110">
        <f t="shared" ref="B217:K217" si="354">IF($O213=9,ROUND(B213*B215,0),IF($O213=12,ROUND((B213*B215*$Q$35)+(C213*B215*$Q$36),0),0))</f>
        <v>0</v>
      </c>
      <c r="C217" s="110">
        <f t="shared" si="354"/>
        <v>0</v>
      </c>
      <c r="D217" s="110">
        <f t="shared" si="354"/>
        <v>0</v>
      </c>
      <c r="E217" s="110">
        <f t="shared" si="354"/>
        <v>0</v>
      </c>
      <c r="F217" s="110">
        <f t="shared" si="354"/>
        <v>0</v>
      </c>
      <c r="G217" s="110">
        <f t="shared" si="354"/>
        <v>0</v>
      </c>
      <c r="H217" s="110">
        <f t="shared" si="354"/>
        <v>0</v>
      </c>
      <c r="I217" s="110">
        <f t="shared" si="354"/>
        <v>0</v>
      </c>
      <c r="J217" s="110">
        <f t="shared" si="354"/>
        <v>0</v>
      </c>
      <c r="K217" s="110">
        <f t="shared" si="354"/>
        <v>0</v>
      </c>
      <c r="L217" s="110">
        <f>IF($O213=9,ROUND(L213*L215,0),IF($O213=12,ROUND((L213*L215*$Q$35)+(N213*L215*$Q$36),0),0))</f>
        <v>0</v>
      </c>
      <c r="M217" s="110">
        <f>IF($O213=9,ROUND(M213*M215,0),IF($O213=12,ROUND((M213*M215*$Q$35)+(O213*M215*$Q$36),0),0))</f>
        <v>0</v>
      </c>
      <c r="N217" s="110">
        <f>IF($O213=9,ROUND(N213*N215,0),IF($O213=12,ROUND((N213*N215*$Q$35)+(P213*N215*$Q$36),0),0))</f>
        <v>0</v>
      </c>
      <c r="O217" s="89"/>
      <c r="P217" s="89"/>
      <c r="Q217" s="89"/>
    </row>
    <row r="218" spans="1:32" x14ac:dyDescent="0.35">
      <c r="A218" s="171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89"/>
      <c r="P218" s="89"/>
      <c r="Q218" s="89"/>
      <c r="R218" s="26"/>
      <c r="S218" s="23"/>
      <c r="T218" s="23"/>
      <c r="U218" s="23"/>
      <c r="V218" s="23"/>
      <c r="W218" s="23"/>
    </row>
    <row r="219" spans="1:32" x14ac:dyDescent="0.35">
      <c r="A219" s="169" t="str">
        <f>CONCATENATE("Calculation based on ",O221," month salary")</f>
        <v>Calculation based on 9 month salary</v>
      </c>
      <c r="B219" s="104" t="str">
        <f t="shared" ref="B219:L219" si="355">IF(AND(B220=$AE$5,$O221=9),$AE$3,IF(AND(B220=$AF$5,$O221=9),$AF$3,IF(AND(B220=$AG$5,$O221=9),$AG$3,IF(AND(B220=$AH$5,$O221=9),$AH$3,IF(AND(B220=$AI$5,$O221=9),$AI$3,IF(AND(B220=$AJ$5,$O221=9),$AJ$3,IF(AND(B220=$AK$5,$O221=9),$AK$3,IF(AND(B220=$AL$5,$O221=9),$AL$3,IF(AND(B220=$AM$5,$O221=9),$AM$3,IF(AND(B220=$AN$5,$O221=9),$AN$3,IF(AND(B220=$AO$5,$O221=9),$AO$3,IF(AND(B220=$AP$5,$O221=9),$AJ$3,IF(AND(B220=$AE$4,$O221=12),$AE$3,IF(AND(B220=$AF$4,$O221=12),$AF$3,IF(AND(B220=$AG$4,$O221=12),$AG$3,IF(AND(B220=$AH$4,$O221=12),$AH$3,IF(AND(B220=$AI$4,$O221=12),$AI$3,IF(AND(B220=$AJ$4,$O221=12),$AJ$3,IF(AND(B220=$AK$4,$O221=12),$AK$3,IF(AND(B220=$AL$4,$O221=12),$AL$3,IF(AND(B220=$AM$4,$O221=12),$AM$3,IF(AND(B220=$AN$4,$O221=12),$AN$3,IF(AND(B220=$AO$4,$O221=12),$AO$3,IF(AND(B220=$AP$4,$O221=12),$AJ$3," "))))))))))))))))))))))))</f>
        <v xml:space="preserve"> </v>
      </c>
      <c r="C219" s="104" t="str">
        <f t="shared" si="355"/>
        <v>Year 1</v>
      </c>
      <c r="D219" s="104" t="str">
        <f t="shared" si="355"/>
        <v>Year 2</v>
      </c>
      <c r="E219" s="104" t="str">
        <f t="shared" si="355"/>
        <v>Year 3</v>
      </c>
      <c r="F219" s="104" t="str">
        <f t="shared" si="355"/>
        <v>Year 4</v>
      </c>
      <c r="G219" s="104" t="str">
        <f t="shared" si="355"/>
        <v>Year 5</v>
      </c>
      <c r="H219" s="104" t="str">
        <f t="shared" si="355"/>
        <v>Year 6</v>
      </c>
      <c r="I219" s="104" t="str">
        <f t="shared" si="355"/>
        <v>Year 7</v>
      </c>
      <c r="J219" s="104" t="str">
        <f t="shared" si="355"/>
        <v>Year 8</v>
      </c>
      <c r="K219" s="104" t="str">
        <f t="shared" si="355"/>
        <v>Year 9</v>
      </c>
      <c r="L219" s="104" t="str">
        <f t="shared" si="355"/>
        <v>Year 10</v>
      </c>
      <c r="M219" s="104" t="str">
        <f>IF(AND(M220=$AE$5,$O221=9),$AE$3,IF(AND(M220=$AF$5,$O221=9),$AF$3,IF(AND(M220=$AG$5,$O221=9),$AG$3,IF(AND(M220=$AH$5,$O221=9),$AH$3,IF(AND(M220=$AI$5,$O221=9),$AI$3,IF(AND(M220=$AJ$5,$O221=9),$AJ$3,IF(AND(M220=$AK$5,$O221=9),$AK$3,IF(AND(M220=$AL$5,$O221=9),$AL$3,IF(AND(M220=$AM$5,$O221=9),$AM$3,IF(AND(M220=$AN$5,$O221=9),$AN$3,IF(AND(M220=$AO$5,$O221=9),$AO$3,IF(AND(M220=$AP$5,$O221=9),$AP$3,IF(AND(M220=$AQ$5,$O221=9),$AJ$3,IF(AND(M220=$AE$4,$O221=12),$AE$3,IF(AND(M220=$AF$4,$O221=12),$AF$3,IF(AND(M220=$AG$4,$O221=12),$AG$3,IF(AND(M220=$AH$4,$O221=12),$AH$3,IF(AND(M220=$AI$4,$O221=12),$AI$3,IF(AND(M220=$AJ$4,$O221=12),$AJ$3,IF(AND(M220=$AK$4,$O221=12),$AK$3,IF(AND(M220=$AL$4,$O221=12),$AL$3,IF(AND(M220=$AM$4,$O221=12),$AM$3,IF(AND(M220=$AN$4,$O221=12),$AN$3,IF(AND(M220=$AO$4,$O221=12),$AO$3,IF(AND(M220=$AP$4,$O221=12),$AP$3,IF(AND(M220=$AQ$4,$O221=12),$AJ$3," "))))))))))))))))))))))))))</f>
        <v>Year 11</v>
      </c>
      <c r="N219" s="104" t="str">
        <f>IF(AND(N220=$AE$5,$O221=9),$AE$3,IF(AND(N220=$AF$5,$O221=9),$AF$3,IF(AND(N220=$AG$5,$O221=9),$AG$3,IF(AND(N220=$AH$5,$O221=9),$AH$3,IF(AND(N220=$AI$5,$O221=9),$AI$3,IF(AND(N220=$AJ$5,$O221=9),$AJ$3,IF(AND(N220=$AK$5,$O221=9),$AK$3,IF(AND(N220=$AL$5,$O221=9),$AL$3,IF(AND(N220=$AM$5,$O221=9),$AM$3,IF(AND(N220=$AN$5,$O221=9),$AN$3,IF(AND(N220=$AO$5,$O221=9),$AO$3,IF(AND(N220=$AP$5,$O221=9),$AP$3,IF(AND(N220=$AQ$5,$O221=9),$AJ$3,IF(AND(N220=$AE$4,$O221=12),$AE$3,IF(AND(N220=$AF$4,$O221=12),$AF$3,IF(AND(N220=$AG$4,$O221=12),$AG$3,IF(AND(N220=$AH$4,$O221=12),$AH$3,IF(AND(N220=$AI$4,$O221=12),$AI$3,IF(AND(N220=$AJ$4,$O221=12),$AJ$3,IF(AND(N220=$AK$4,$O221=12),$AK$3,IF(AND(N220=$AL$4,$O221=12),$AL$3,IF(AND(N220=$AM$4,$O221=12),$AM$3,IF(AND(N220=$AN$4,$O221=12),$AN$3,IF(AND(N220=$AO$4,$O221=12),$AO$3,IF(AND(N220=$AP$4,$O221=12),$AP$3,IF(AND(N220=$AQ$4,$O221=12),$AJ$3," "))))))))))))))))))))))))))</f>
        <v>Year 12</v>
      </c>
      <c r="O219" s="89"/>
      <c r="P219" s="89"/>
      <c r="Q219" s="89"/>
    </row>
    <row r="220" spans="1:32" x14ac:dyDescent="0.35">
      <c r="A220" s="170" t="str">
        <f>+B186</f>
        <v>Co-PI</v>
      </c>
      <c r="B220" s="55" t="str">
        <f t="shared" ref="B220:I220" si="356">+N$2</f>
        <v>FY2023</v>
      </c>
      <c r="C220" s="55" t="str">
        <f t="shared" si="356"/>
        <v>FY2024</v>
      </c>
      <c r="D220" s="55" t="str">
        <f t="shared" si="356"/>
        <v>FY2025</v>
      </c>
      <c r="E220" s="55" t="str">
        <f t="shared" si="356"/>
        <v>FY2026</v>
      </c>
      <c r="F220" s="55" t="str">
        <f t="shared" si="356"/>
        <v>FY2027</v>
      </c>
      <c r="G220" s="55" t="str">
        <f t="shared" si="356"/>
        <v>FY2028</v>
      </c>
      <c r="H220" s="55" t="str">
        <f t="shared" si="356"/>
        <v>FY2029</v>
      </c>
      <c r="I220" s="55" t="str">
        <f t="shared" si="356"/>
        <v>FY2030</v>
      </c>
      <c r="J220" s="55" t="str">
        <f t="shared" ref="J220" si="357">+V$2</f>
        <v>FY2031</v>
      </c>
      <c r="K220" s="55" t="str">
        <f t="shared" ref="K220" si="358">+W$2</f>
        <v>FY2032</v>
      </c>
      <c r="L220" s="55" t="str">
        <f t="shared" ref="L220" si="359">+X$2</f>
        <v>FY2033</v>
      </c>
      <c r="M220" s="55" t="str">
        <f t="shared" ref="M220:N220" si="360">+Y$2</f>
        <v>FY2034</v>
      </c>
      <c r="N220" s="55" t="str">
        <f t="shared" si="360"/>
        <v>FY2035</v>
      </c>
      <c r="O220" s="32" t="s">
        <v>20</v>
      </c>
      <c r="P220" s="89" t="s">
        <v>64</v>
      </c>
      <c r="Q220" s="89"/>
    </row>
    <row r="221" spans="1:32" x14ac:dyDescent="0.35">
      <c r="A221" s="171" t="str">
        <f>CONCATENATE("Base Salary: ",O221," month term")</f>
        <v>Base Salary: 9 month term</v>
      </c>
      <c r="B221" s="385">
        <v>0</v>
      </c>
      <c r="C221" s="386">
        <f>ROUND(+B221*(1+$P$221),0)</f>
        <v>0</v>
      </c>
      <c r="D221" s="386">
        <f t="shared" ref="D221:N221" si="361">ROUND(+C221*(1+$P$221),0)</f>
        <v>0</v>
      </c>
      <c r="E221" s="386">
        <f t="shared" si="361"/>
        <v>0</v>
      </c>
      <c r="F221" s="386">
        <f t="shared" si="361"/>
        <v>0</v>
      </c>
      <c r="G221" s="386">
        <f t="shared" si="361"/>
        <v>0</v>
      </c>
      <c r="H221" s="386">
        <f t="shared" si="361"/>
        <v>0</v>
      </c>
      <c r="I221" s="386">
        <f t="shared" si="361"/>
        <v>0</v>
      </c>
      <c r="J221" s="386">
        <f t="shared" si="361"/>
        <v>0</v>
      </c>
      <c r="K221" s="386">
        <f t="shared" si="361"/>
        <v>0</v>
      </c>
      <c r="L221" s="386">
        <f t="shared" si="361"/>
        <v>0</v>
      </c>
      <c r="M221" s="386">
        <f t="shared" si="361"/>
        <v>0</v>
      </c>
      <c r="N221" s="386">
        <f t="shared" si="361"/>
        <v>0</v>
      </c>
      <c r="O221" s="311">
        <v>9</v>
      </c>
      <c r="P221" s="312">
        <v>0.03</v>
      </c>
      <c r="Q221" s="52"/>
    </row>
    <row r="222" spans="1:32" x14ac:dyDescent="0.35">
      <c r="A222" s="171" t="s">
        <v>44</v>
      </c>
      <c r="B222" s="313">
        <v>0</v>
      </c>
      <c r="C222" s="313">
        <v>0</v>
      </c>
      <c r="D222" s="313">
        <v>0</v>
      </c>
      <c r="E222" s="313">
        <v>0</v>
      </c>
      <c r="F222" s="313">
        <v>0</v>
      </c>
      <c r="G222" s="313">
        <v>0</v>
      </c>
      <c r="H222" s="313">
        <v>0</v>
      </c>
      <c r="I222" s="313">
        <v>0</v>
      </c>
      <c r="J222" s="313">
        <v>0</v>
      </c>
      <c r="K222" s="313">
        <v>0</v>
      </c>
      <c r="L222" s="313">
        <v>0</v>
      </c>
      <c r="M222" s="313">
        <v>0</v>
      </c>
      <c r="N222" s="313">
        <v>0</v>
      </c>
      <c r="O222" s="25"/>
      <c r="P222" s="25"/>
      <c r="Q222" s="186"/>
      <c r="R222" s="42" t="str">
        <f>+O$20</f>
        <v>Graduate Student (Stipend, Tuition, Health Ins) - Endowed College Rates:</v>
      </c>
    </row>
    <row r="223" spans="1:32" x14ac:dyDescent="0.35">
      <c r="A223" s="171" t="str">
        <f>CONCATENATE("FTE for ",O221," Months")</f>
        <v>FTE for 9 Months</v>
      </c>
      <c r="B223" s="395">
        <f t="shared" ref="B223:I223" si="362">+B222/$O221</f>
        <v>0</v>
      </c>
      <c r="C223" s="395">
        <f t="shared" si="362"/>
        <v>0</v>
      </c>
      <c r="D223" s="395">
        <f t="shared" si="362"/>
        <v>0</v>
      </c>
      <c r="E223" s="395">
        <f t="shared" si="362"/>
        <v>0</v>
      </c>
      <c r="F223" s="395">
        <f t="shared" si="362"/>
        <v>0</v>
      </c>
      <c r="G223" s="395">
        <f t="shared" si="362"/>
        <v>0</v>
      </c>
      <c r="H223" s="395">
        <f t="shared" si="362"/>
        <v>0</v>
      </c>
      <c r="I223" s="395">
        <f t="shared" si="362"/>
        <v>0</v>
      </c>
      <c r="J223" s="395">
        <f t="shared" ref="J223:M223" si="363">+J222/$O221</f>
        <v>0</v>
      </c>
      <c r="K223" s="395">
        <f t="shared" si="363"/>
        <v>0</v>
      </c>
      <c r="L223" s="395">
        <f t="shared" si="363"/>
        <v>0</v>
      </c>
      <c r="M223" s="395">
        <f t="shared" si="363"/>
        <v>0</v>
      </c>
      <c r="N223" s="395">
        <f t="shared" ref="N223" si="364">+N222/$O221</f>
        <v>0</v>
      </c>
      <c r="O223" s="89"/>
      <c r="P223" s="89"/>
      <c r="Q223" s="186"/>
      <c r="R223" s="25"/>
      <c r="S223" s="113" t="str">
        <f>+$P$24</f>
        <v>FY2023</v>
      </c>
      <c r="T223" s="113" t="str">
        <f>+$Q$24</f>
        <v>FY2024</v>
      </c>
      <c r="U223" s="113" t="str">
        <f>+$R$24</f>
        <v>FY2025</v>
      </c>
      <c r="V223" s="113" t="str">
        <f>+$S$24</f>
        <v>FY2026</v>
      </c>
      <c r="W223" s="113" t="str">
        <f>+$T$24</f>
        <v>FY2027</v>
      </c>
      <c r="X223" s="113" t="str">
        <f>+$U$24</f>
        <v>FY2028</v>
      </c>
      <c r="Y223" s="113" t="str">
        <f>+$V$24</f>
        <v>FY2029</v>
      </c>
      <c r="Z223" s="113" t="str">
        <f>+$W$24</f>
        <v>FY2030</v>
      </c>
      <c r="AA223" s="113" t="str">
        <f>+$X$24</f>
        <v>FY2031</v>
      </c>
      <c r="AB223" s="113" t="str">
        <f>+$Y$24</f>
        <v>FY2032</v>
      </c>
      <c r="AC223" s="113" t="str">
        <f>+$Z$24</f>
        <v>FY2033</v>
      </c>
      <c r="AD223" s="113" t="str">
        <f>+$AA$24</f>
        <v>FY2034</v>
      </c>
      <c r="AE223" s="113" t="str">
        <f>+$AB$24</f>
        <v>FY2035</v>
      </c>
      <c r="AF223" s="114" t="s">
        <v>101</v>
      </c>
    </row>
    <row r="224" spans="1:32" x14ac:dyDescent="0.35">
      <c r="A224" s="172" t="s">
        <v>56</v>
      </c>
      <c r="B224" s="396">
        <f>+B222/12</f>
        <v>0</v>
      </c>
      <c r="C224" s="396">
        <f>+C222/12</f>
        <v>0</v>
      </c>
      <c r="D224" s="396">
        <f t="shared" ref="D224:G224" si="365">+D222/12</f>
        <v>0</v>
      </c>
      <c r="E224" s="396">
        <f t="shared" si="365"/>
        <v>0</v>
      </c>
      <c r="F224" s="396">
        <f t="shared" si="365"/>
        <v>0</v>
      </c>
      <c r="G224" s="396">
        <f t="shared" si="365"/>
        <v>0</v>
      </c>
      <c r="H224" s="396">
        <f t="shared" ref="H224:I224" si="366">+H222/12</f>
        <v>0</v>
      </c>
      <c r="I224" s="396">
        <f t="shared" si="366"/>
        <v>0</v>
      </c>
      <c r="J224" s="396">
        <f t="shared" ref="J224:M224" si="367">+J222/12</f>
        <v>0</v>
      </c>
      <c r="K224" s="396">
        <f t="shared" si="367"/>
        <v>0</v>
      </c>
      <c r="L224" s="396">
        <f t="shared" si="367"/>
        <v>0</v>
      </c>
      <c r="M224" s="396">
        <f t="shared" si="367"/>
        <v>0</v>
      </c>
      <c r="N224" s="396">
        <f t="shared" ref="N224" si="368">+N222/12</f>
        <v>0</v>
      </c>
      <c r="O224" s="89"/>
      <c r="P224" s="89"/>
      <c r="Q224" s="186"/>
      <c r="R224" s="30" t="s">
        <v>35</v>
      </c>
      <c r="S224" s="101">
        <f>+$P$25</f>
        <v>30087</v>
      </c>
      <c r="T224" s="101">
        <f>IF(ROUND(S224*(1+$AF224),0)=$Q$25,ROUND(S224*(1+$AF224),0),$Q$25)</f>
        <v>32494.5</v>
      </c>
      <c r="U224" s="101">
        <f t="shared" ref="U224:AE224" si="369">ROUND(T224*(1+$AF224),0)</f>
        <v>35094</v>
      </c>
      <c r="V224" s="101">
        <f t="shared" si="369"/>
        <v>37902</v>
      </c>
      <c r="W224" s="101">
        <f t="shared" si="369"/>
        <v>40934</v>
      </c>
      <c r="X224" s="101">
        <f t="shared" si="369"/>
        <v>44209</v>
      </c>
      <c r="Y224" s="101">
        <f t="shared" si="369"/>
        <v>47746</v>
      </c>
      <c r="Z224" s="101">
        <f t="shared" si="369"/>
        <v>51566</v>
      </c>
      <c r="AA224" s="101">
        <f t="shared" si="369"/>
        <v>55691</v>
      </c>
      <c r="AB224" s="101">
        <f t="shared" si="369"/>
        <v>60146</v>
      </c>
      <c r="AC224" s="101">
        <f t="shared" si="369"/>
        <v>64958</v>
      </c>
      <c r="AD224" s="101">
        <f t="shared" si="369"/>
        <v>70155</v>
      </c>
      <c r="AE224" s="101">
        <f t="shared" si="369"/>
        <v>75767</v>
      </c>
      <c r="AF224" s="31">
        <v>0.08</v>
      </c>
    </row>
    <row r="225" spans="1:33" x14ac:dyDescent="0.35">
      <c r="A225" s="171" t="s">
        <v>21</v>
      </c>
      <c r="B225" s="110">
        <f t="shared" ref="B225:I225" si="370">IF($O221=9,ROUND(B221*B223,0),IF($O221=12,ROUND((B221*B223*$Q$35)+(C221*B223*$Q$36),0),0))</f>
        <v>0</v>
      </c>
      <c r="C225" s="110">
        <f t="shared" si="370"/>
        <v>0</v>
      </c>
      <c r="D225" s="110">
        <f t="shared" si="370"/>
        <v>0</v>
      </c>
      <c r="E225" s="110">
        <f t="shared" si="370"/>
        <v>0</v>
      </c>
      <c r="F225" s="110">
        <f t="shared" si="370"/>
        <v>0</v>
      </c>
      <c r="G225" s="110">
        <f t="shared" si="370"/>
        <v>0</v>
      </c>
      <c r="H225" s="110">
        <f t="shared" si="370"/>
        <v>0</v>
      </c>
      <c r="I225" s="110">
        <f t="shared" si="370"/>
        <v>0</v>
      </c>
      <c r="J225" s="110">
        <f t="shared" ref="J225:N225" si="371">IF($O221=9,ROUND(J221*J223,0),IF($O221=12,ROUND((J221*J223*$Q$35)+(K221*J223*$Q$36),0),0))</f>
        <v>0</v>
      </c>
      <c r="K225" s="110">
        <f t="shared" si="371"/>
        <v>0</v>
      </c>
      <c r="L225" s="110">
        <f t="shared" si="371"/>
        <v>0</v>
      </c>
      <c r="M225" s="110">
        <f t="shared" si="371"/>
        <v>0</v>
      </c>
      <c r="N225" s="110">
        <f t="shared" si="371"/>
        <v>0</v>
      </c>
      <c r="O225" s="89"/>
      <c r="P225" s="89"/>
      <c r="Q225" s="186"/>
      <c r="R225" s="30" t="s">
        <v>23</v>
      </c>
      <c r="S225" s="101">
        <f>+$P$26</f>
        <v>10029</v>
      </c>
      <c r="T225" s="101">
        <f>IF(ROUND(S225*(1+$AF225),0)=$Q$26,ROUND(S225*(1+$AF225),0),$Q$26)</f>
        <v>10831.5</v>
      </c>
      <c r="U225" s="101">
        <f t="shared" ref="U225:AE225" si="372">ROUND(T225*(1+$AF225),0)</f>
        <v>11698</v>
      </c>
      <c r="V225" s="101">
        <f t="shared" si="372"/>
        <v>12634</v>
      </c>
      <c r="W225" s="101">
        <f t="shared" si="372"/>
        <v>13645</v>
      </c>
      <c r="X225" s="101">
        <f t="shared" si="372"/>
        <v>14737</v>
      </c>
      <c r="Y225" s="101">
        <f t="shared" si="372"/>
        <v>15916</v>
      </c>
      <c r="Z225" s="101">
        <f t="shared" si="372"/>
        <v>17189</v>
      </c>
      <c r="AA225" s="101">
        <f t="shared" si="372"/>
        <v>18564</v>
      </c>
      <c r="AB225" s="101">
        <f t="shared" si="372"/>
        <v>20049</v>
      </c>
      <c r="AC225" s="101">
        <f t="shared" si="372"/>
        <v>21653</v>
      </c>
      <c r="AD225" s="101">
        <f t="shared" si="372"/>
        <v>23385</v>
      </c>
      <c r="AE225" s="101">
        <f t="shared" si="372"/>
        <v>25256</v>
      </c>
      <c r="AF225" s="66">
        <v>0.08</v>
      </c>
    </row>
    <row r="226" spans="1:33" x14ac:dyDescent="0.35">
      <c r="A226" s="171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89"/>
      <c r="P226" s="89"/>
      <c r="Q226" s="186"/>
      <c r="R226" s="30" t="s">
        <v>30</v>
      </c>
      <c r="S226" s="101">
        <f>+$P$27</f>
        <v>40116</v>
      </c>
      <c r="T226" s="101">
        <f>+T224+T225</f>
        <v>43326</v>
      </c>
      <c r="U226" s="101">
        <f t="shared" ref="U226:AD226" si="373">+U224+U225</f>
        <v>46792</v>
      </c>
      <c r="V226" s="101">
        <f t="shared" si="373"/>
        <v>50536</v>
      </c>
      <c r="W226" s="101">
        <f t="shared" si="373"/>
        <v>54579</v>
      </c>
      <c r="X226" s="101">
        <f t="shared" si="373"/>
        <v>58946</v>
      </c>
      <c r="Y226" s="101">
        <f t="shared" si="373"/>
        <v>63662</v>
      </c>
      <c r="Z226" s="101">
        <f t="shared" si="373"/>
        <v>68755</v>
      </c>
      <c r="AA226" s="101">
        <f t="shared" si="373"/>
        <v>74255</v>
      </c>
      <c r="AB226" s="101">
        <f t="shared" si="373"/>
        <v>80195</v>
      </c>
      <c r="AC226" s="101">
        <f t="shared" si="373"/>
        <v>86611</v>
      </c>
      <c r="AD226" s="101">
        <f t="shared" si="373"/>
        <v>93540</v>
      </c>
      <c r="AE226" s="101">
        <f t="shared" ref="AE226" si="374">+AE224+AE225</f>
        <v>101023</v>
      </c>
      <c r="AF226" s="31"/>
    </row>
    <row r="227" spans="1:33" x14ac:dyDescent="0.35">
      <c r="A227" s="171"/>
      <c r="B227" s="104" t="str">
        <f t="shared" ref="B227:L227" si="375">IF(AND(B228=$AE$5,$O229=9),$AE$3,IF(AND(B228=$AF$5,$O229=9),$AF$3,IF(AND(B228=$AG$5,$O229=9),$AG$3,IF(AND(B228=$AH$5,$O229=9),$AH$3,IF(AND(B228=$AI$5,$O229=9),$AI$3,IF(AND(B228=$AJ$5,$O229=9),$AJ$3,IF(AND(B228=$AK$5,$O229=9),$AK$3,IF(AND(B228=$AL$5,$O229=9),$AL$3,IF(AND(B228=$AM$5,$O229=9),$AM$3,IF(AND(B228=$AN$5,$O229=9),$AN$3,IF(AND(B228=$AO$5,$O229=9),$AO$3,IF(AND(B228=$AP$5,$O229=9),$AJ$3,IF(AND(B228=$AE$4,$O229=12),$AE$3,IF(AND(B228=$AF$4,$O229=12),$AF$3,IF(AND(B228=$AG$4,$O229=12),$AG$3,IF(AND(B228=$AH$4,$O229=12),$AH$3,IF(AND(B228=$AI$4,$O229=12),$AI$3,IF(AND(B228=$AJ$4,$O229=12),$AJ$3,IF(AND(B228=$AK$4,$O229=12),$AK$3,IF(AND(B228=$AL$4,$O229=12),$AL$3,IF(AND(B228=$AM$4,$O229=12),$AM$3,IF(AND(B228=$AN$4,$O229=12),$AN$3,IF(AND(B228=$AO$4,$O229=12),$AO$3,IF(AND(B228=$AP$4,$O229=12),$AJ$3," "))))))))))))))))))))))))</f>
        <v xml:space="preserve"> </v>
      </c>
      <c r="C227" s="104" t="str">
        <f t="shared" si="375"/>
        <v>Year 1</v>
      </c>
      <c r="D227" s="104" t="str">
        <f t="shared" si="375"/>
        <v>Year 2</v>
      </c>
      <c r="E227" s="104" t="str">
        <f t="shared" si="375"/>
        <v>Year 3</v>
      </c>
      <c r="F227" s="104" t="str">
        <f t="shared" si="375"/>
        <v>Year 4</v>
      </c>
      <c r="G227" s="104" t="str">
        <f t="shared" si="375"/>
        <v>Year 5</v>
      </c>
      <c r="H227" s="104" t="str">
        <f t="shared" si="375"/>
        <v>Year 6</v>
      </c>
      <c r="I227" s="104" t="str">
        <f t="shared" si="375"/>
        <v>Year 7</v>
      </c>
      <c r="J227" s="104" t="str">
        <f t="shared" si="375"/>
        <v>Year 8</v>
      </c>
      <c r="K227" s="104" t="str">
        <f t="shared" si="375"/>
        <v>Year 9</v>
      </c>
      <c r="L227" s="104" t="str">
        <f t="shared" si="375"/>
        <v>Year 10</v>
      </c>
      <c r="M227" s="104" t="str">
        <f t="shared" ref="M227" si="376">IF(AND(M228=$AE$5,$O229=9),$AE$3,IF(AND(M228=$AF$5,$O229=9),$AF$3,IF(AND(M228=$AG$5,$O229=9),$AG$3,IF(AND(M228=$AH$5,$O229=9),$AH$3,IF(AND(M228=$AI$5,$O229=9),$AI$3,IF(AND(M228=$AJ$5,$O229=9),$AJ$3,IF(AND(M228=$AK$5,$O229=9),$AK$3,IF(AND(M228=$AL$5,$O229=9),$AL$3,IF(AND(M228=$AM$5,$O229=9),$AM$3,IF(AND(M228=$AN$5,$O229=9),$AN$3,IF(AND(M228=$AO$5,$O229=9),$AO$3,IF(AND(M228=$AP$5,$O229=9),$AJ$3,IF(AND(M228=$AE$4,$O229=12),$AE$3,IF(AND(M228=$AF$4,$O229=12),$AF$3,IF(AND(M228=$AG$4,$O229=12),$AG$3,IF(AND(M228=$AH$4,$O229=12),$AH$3,IF(AND(M228=$AI$4,$O229=12),$AI$3,IF(AND(M228=$AJ$4,$O229=12),$AJ$3,IF(AND(M228=$AK$4,$O229=12),$AK$3,IF(AND(M228=$AL$4,$O229=12),$AL$3,IF(AND(M228=$AM$4,$O229=12),$AM$3,IF(AND(M228=$AN$4,$O229=12),$AN$3,IF(AND(M228=$AO$4,$O229=12),$AO$3,IF(AND(M228=$AP$4,$O229=12),$AJ$3," "))))))))))))))))))))))))</f>
        <v>Year 11</v>
      </c>
      <c r="N227" s="104"/>
      <c r="O227" s="89"/>
      <c r="P227" s="89"/>
      <c r="Q227" s="186"/>
      <c r="R227" s="30" t="s">
        <v>8</v>
      </c>
      <c r="S227" s="101">
        <f>IF(B187="Contract College",P$28,P$29)</f>
        <v>14750</v>
      </c>
      <c r="T227" s="101">
        <f t="shared" ref="T227:AD227" si="377">IF(C187="Contract College",Q$28,Q$29)</f>
        <v>12400</v>
      </c>
      <c r="U227" s="101">
        <f t="shared" si="377"/>
        <v>10400</v>
      </c>
      <c r="V227" s="101">
        <f t="shared" si="377"/>
        <v>10400</v>
      </c>
      <c r="W227" s="101">
        <f t="shared" si="377"/>
        <v>10400</v>
      </c>
      <c r="X227" s="101">
        <f t="shared" si="377"/>
        <v>10400</v>
      </c>
      <c r="Y227" s="101">
        <f t="shared" si="377"/>
        <v>10400</v>
      </c>
      <c r="Z227" s="101">
        <f t="shared" si="377"/>
        <v>10400</v>
      </c>
      <c r="AA227" s="101">
        <f t="shared" si="377"/>
        <v>10400</v>
      </c>
      <c r="AB227" s="101">
        <f t="shared" si="377"/>
        <v>10400</v>
      </c>
      <c r="AC227" s="101">
        <f t="shared" si="377"/>
        <v>10400</v>
      </c>
      <c r="AD227" s="101">
        <f t="shared" si="377"/>
        <v>10400</v>
      </c>
      <c r="AE227" s="101">
        <f t="shared" ref="AE227" si="378">ROUND(AD227*(1+$AF227),0)</f>
        <v>10400</v>
      </c>
      <c r="AF227" s="31">
        <v>0</v>
      </c>
      <c r="AG227" t="s">
        <v>212</v>
      </c>
    </row>
    <row r="228" spans="1:33" x14ac:dyDescent="0.35">
      <c r="A228" s="170" t="s">
        <v>102</v>
      </c>
      <c r="B228" s="55" t="str">
        <f t="shared" ref="B228:I228" si="379">+N$2</f>
        <v>FY2023</v>
      </c>
      <c r="C228" s="55" t="str">
        <f t="shared" si="379"/>
        <v>FY2024</v>
      </c>
      <c r="D228" s="55" t="str">
        <f t="shared" si="379"/>
        <v>FY2025</v>
      </c>
      <c r="E228" s="55" t="str">
        <f t="shared" si="379"/>
        <v>FY2026</v>
      </c>
      <c r="F228" s="55" t="str">
        <f t="shared" si="379"/>
        <v>FY2027</v>
      </c>
      <c r="G228" s="55" t="str">
        <f t="shared" si="379"/>
        <v>FY2028</v>
      </c>
      <c r="H228" s="55" t="str">
        <f t="shared" si="379"/>
        <v>FY2029</v>
      </c>
      <c r="I228" s="55" t="str">
        <f t="shared" si="379"/>
        <v>FY2030</v>
      </c>
      <c r="J228" s="55" t="str">
        <f t="shared" ref="J228" si="380">+V$2</f>
        <v>FY2031</v>
      </c>
      <c r="K228" s="55" t="str">
        <f t="shared" ref="K228:M228" si="381">+W$2</f>
        <v>FY2032</v>
      </c>
      <c r="L228" s="55" t="str">
        <f t="shared" si="381"/>
        <v>FY2033</v>
      </c>
      <c r="M228" s="55" t="str">
        <f t="shared" si="381"/>
        <v>FY2034</v>
      </c>
      <c r="N228" s="55"/>
      <c r="O228" s="32" t="s">
        <v>20</v>
      </c>
      <c r="P228" s="89" t="s">
        <v>64</v>
      </c>
      <c r="Q228" s="186"/>
      <c r="R228" s="30" t="s">
        <v>24</v>
      </c>
      <c r="S228" s="101">
        <f>+$P$30</f>
        <v>4046</v>
      </c>
      <c r="T228" s="101">
        <f>IF(ROUND(S228*(1+$AF228),0)=$Q$30,ROUND(S228*(1+$AF228),0),$Q$30)</f>
        <v>4451</v>
      </c>
      <c r="U228" s="101">
        <f t="shared" ref="U228:AE228" si="382">ROUND(T228*(1+$AF228),0)</f>
        <v>4896</v>
      </c>
      <c r="V228" s="101">
        <f t="shared" si="382"/>
        <v>5386</v>
      </c>
      <c r="W228" s="101">
        <f t="shared" si="382"/>
        <v>5925</v>
      </c>
      <c r="X228" s="101">
        <f t="shared" si="382"/>
        <v>6518</v>
      </c>
      <c r="Y228" s="101">
        <f t="shared" si="382"/>
        <v>7170</v>
      </c>
      <c r="Z228" s="101">
        <f t="shared" si="382"/>
        <v>7887</v>
      </c>
      <c r="AA228" s="101">
        <f t="shared" si="382"/>
        <v>8676</v>
      </c>
      <c r="AB228" s="101">
        <f t="shared" si="382"/>
        <v>9544</v>
      </c>
      <c r="AC228" s="101">
        <f t="shared" si="382"/>
        <v>10498</v>
      </c>
      <c r="AD228" s="101">
        <f t="shared" si="382"/>
        <v>11548</v>
      </c>
      <c r="AE228" s="101">
        <f t="shared" si="382"/>
        <v>12703</v>
      </c>
      <c r="AF228" s="31">
        <v>0.1</v>
      </c>
    </row>
    <row r="229" spans="1:33" x14ac:dyDescent="0.35">
      <c r="A229" s="171" t="str">
        <f>CONCATENATE("Base Salary: ",O229," month term")</f>
        <v>Base Salary: 12 month term</v>
      </c>
      <c r="B229" s="62">
        <f>PostdocMinRate</f>
        <v>56484</v>
      </c>
      <c r="C229" s="109">
        <f t="shared" ref="C229:M229" si="383">ROUND(+B229*(1+$P$229),0)</f>
        <v>58179</v>
      </c>
      <c r="D229" s="109">
        <f t="shared" si="383"/>
        <v>59924</v>
      </c>
      <c r="E229" s="109">
        <f t="shared" si="383"/>
        <v>61722</v>
      </c>
      <c r="F229" s="109">
        <f t="shared" si="383"/>
        <v>63574</v>
      </c>
      <c r="G229" s="109">
        <f t="shared" si="383"/>
        <v>65481</v>
      </c>
      <c r="H229" s="109">
        <f t="shared" si="383"/>
        <v>67445</v>
      </c>
      <c r="I229" s="109">
        <f t="shared" si="383"/>
        <v>69468</v>
      </c>
      <c r="J229" s="109">
        <f t="shared" si="383"/>
        <v>71552</v>
      </c>
      <c r="K229" s="109">
        <f t="shared" si="383"/>
        <v>73699</v>
      </c>
      <c r="L229" s="109">
        <f t="shared" si="383"/>
        <v>75910</v>
      </c>
      <c r="M229" s="109">
        <f t="shared" si="383"/>
        <v>78187</v>
      </c>
      <c r="N229" s="109"/>
      <c r="O229" s="319">
        <v>12</v>
      </c>
      <c r="P229" s="320">
        <v>0.03</v>
      </c>
      <c r="Q229" s="186"/>
      <c r="Y229" s="23"/>
    </row>
    <row r="230" spans="1:33" x14ac:dyDescent="0.35">
      <c r="A230" s="171" t="s">
        <v>44</v>
      </c>
      <c r="B230" s="313">
        <v>0</v>
      </c>
      <c r="C230" s="313">
        <v>0</v>
      </c>
      <c r="D230" s="313">
        <v>0</v>
      </c>
      <c r="E230" s="313">
        <v>0</v>
      </c>
      <c r="F230" s="313">
        <v>0</v>
      </c>
      <c r="G230" s="313">
        <v>0</v>
      </c>
      <c r="H230" s="313">
        <v>0</v>
      </c>
      <c r="I230" s="313">
        <v>0</v>
      </c>
      <c r="J230" s="313">
        <v>0</v>
      </c>
      <c r="K230" s="313">
        <v>0</v>
      </c>
      <c r="L230" s="313">
        <v>0</v>
      </c>
      <c r="M230" s="313">
        <v>0</v>
      </c>
      <c r="N230" s="402"/>
      <c r="O230" s="25"/>
      <c r="P230" s="25"/>
      <c r="Q230" s="186"/>
      <c r="Y230" s="23"/>
    </row>
    <row r="231" spans="1:33" x14ac:dyDescent="0.35">
      <c r="A231" s="171" t="str">
        <f>CONCATENATE("FTE for ",O229," Months")</f>
        <v>FTE for 12 Months</v>
      </c>
      <c r="B231" s="395">
        <f t="shared" ref="B231:L231" si="384">+B230/$O229</f>
        <v>0</v>
      </c>
      <c r="C231" s="395">
        <f t="shared" si="384"/>
        <v>0</v>
      </c>
      <c r="D231" s="395">
        <f t="shared" si="384"/>
        <v>0</v>
      </c>
      <c r="E231" s="395">
        <f t="shared" si="384"/>
        <v>0</v>
      </c>
      <c r="F231" s="395">
        <f t="shared" si="384"/>
        <v>0</v>
      </c>
      <c r="G231" s="395">
        <f t="shared" si="384"/>
        <v>0</v>
      </c>
      <c r="H231" s="395">
        <f t="shared" si="384"/>
        <v>0</v>
      </c>
      <c r="I231" s="395">
        <f t="shared" si="384"/>
        <v>0</v>
      </c>
      <c r="J231" s="395">
        <f t="shared" si="384"/>
        <v>0</v>
      </c>
      <c r="K231" s="395">
        <f t="shared" si="384"/>
        <v>0</v>
      </c>
      <c r="L231" s="395">
        <f t="shared" si="384"/>
        <v>0</v>
      </c>
      <c r="M231" s="395">
        <f t="shared" ref="M231" si="385">+M230/$O229</f>
        <v>0</v>
      </c>
      <c r="N231" s="403"/>
      <c r="O231" s="89"/>
      <c r="P231" s="89"/>
      <c r="Q231" s="186"/>
      <c r="S231" s="53" t="str">
        <f t="shared" ref="S231:AC231" si="386">+S150</f>
        <v>Fall 2023</v>
      </c>
      <c r="T231" s="53" t="str">
        <f t="shared" si="386"/>
        <v>Fall 2024</v>
      </c>
      <c r="U231" s="53" t="str">
        <f t="shared" si="386"/>
        <v>Fall 2025</v>
      </c>
      <c r="V231" s="53" t="str">
        <f t="shared" si="386"/>
        <v>Fall 2026</v>
      </c>
      <c r="W231" s="53" t="str">
        <f t="shared" si="386"/>
        <v>Fall 2027</v>
      </c>
      <c r="X231" s="53" t="str">
        <f t="shared" si="386"/>
        <v>Fall 2028</v>
      </c>
      <c r="Y231" s="53" t="str">
        <f t="shared" si="386"/>
        <v>Fall 2029</v>
      </c>
      <c r="Z231" s="53" t="str">
        <f t="shared" si="386"/>
        <v>Fall 2030</v>
      </c>
      <c r="AA231" s="53" t="str">
        <f t="shared" si="386"/>
        <v>Fall 2031</v>
      </c>
      <c r="AB231" s="53" t="str">
        <f t="shared" si="386"/>
        <v>Fall 2032</v>
      </c>
      <c r="AC231" s="53" t="str">
        <f t="shared" si="386"/>
        <v>Fall 2033</v>
      </c>
      <c r="AD231" s="53" t="str">
        <f t="shared" ref="AD231" si="387">+AD150</f>
        <v>Fall 2034</v>
      </c>
    </row>
    <row r="232" spans="1:33" x14ac:dyDescent="0.35">
      <c r="A232" s="171" t="s">
        <v>21</v>
      </c>
      <c r="B232" s="110">
        <f t="shared" ref="B232:K232" si="388">ROUND((B229*B231*$Q$35)+(C229*B231*$Q$36),0)</f>
        <v>0</v>
      </c>
      <c r="C232" s="110">
        <f t="shared" si="388"/>
        <v>0</v>
      </c>
      <c r="D232" s="110">
        <f t="shared" si="388"/>
        <v>0</v>
      </c>
      <c r="E232" s="110">
        <f t="shared" si="388"/>
        <v>0</v>
      </c>
      <c r="F232" s="110">
        <f t="shared" si="388"/>
        <v>0</v>
      </c>
      <c r="G232" s="110">
        <f t="shared" si="388"/>
        <v>0</v>
      </c>
      <c r="H232" s="110">
        <f t="shared" si="388"/>
        <v>0</v>
      </c>
      <c r="I232" s="110">
        <f t="shared" si="388"/>
        <v>0</v>
      </c>
      <c r="J232" s="110">
        <f t="shared" si="388"/>
        <v>0</v>
      </c>
      <c r="K232" s="110">
        <f t="shared" si="388"/>
        <v>0</v>
      </c>
      <c r="L232" s="110">
        <f>ROUND((L229*L231*$Q$35)+(N229*L231*$Q$36),0)</f>
        <v>0</v>
      </c>
      <c r="M232" s="110">
        <f>ROUND((M229*M231*$Q$35)+(O229*M231*$Q$36),0)</f>
        <v>0</v>
      </c>
      <c r="N232" s="404"/>
      <c r="O232" s="89"/>
      <c r="P232" s="89"/>
      <c r="Q232" s="185"/>
      <c r="S232" s="53" t="str">
        <f t="shared" ref="S232:AC232" si="389">+S151</f>
        <v>Spring 2024</v>
      </c>
      <c r="T232" s="53" t="str">
        <f t="shared" si="389"/>
        <v>Spring 2025</v>
      </c>
      <c r="U232" s="53" t="str">
        <f t="shared" si="389"/>
        <v>Spring 2026</v>
      </c>
      <c r="V232" s="53" t="str">
        <f t="shared" si="389"/>
        <v>Spring 2027</v>
      </c>
      <c r="W232" s="53" t="str">
        <f t="shared" si="389"/>
        <v>Spring 2028</v>
      </c>
      <c r="X232" s="53" t="str">
        <f t="shared" si="389"/>
        <v>Spring 2029</v>
      </c>
      <c r="Y232" s="53" t="str">
        <f t="shared" si="389"/>
        <v>Spring 2030</v>
      </c>
      <c r="Z232" s="53" t="str">
        <f t="shared" si="389"/>
        <v>Spring 2031</v>
      </c>
      <c r="AA232" s="53" t="str">
        <f t="shared" si="389"/>
        <v>Spring 2032</v>
      </c>
      <c r="AB232" s="53" t="str">
        <f t="shared" si="389"/>
        <v>Spring 2033</v>
      </c>
      <c r="AC232" s="53" t="str">
        <f t="shared" si="389"/>
        <v>Spring 2034</v>
      </c>
      <c r="AD232" s="53" t="str">
        <f t="shared" ref="AD232" si="390">+AD151</f>
        <v>Spring 2035</v>
      </c>
    </row>
    <row r="233" spans="1:33" x14ac:dyDescent="0.35">
      <c r="A233" s="171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  <c r="Q233" s="186"/>
      <c r="S233" s="53" t="str">
        <f t="shared" ref="S233:AC233" si="391">+S152</f>
        <v>Summer 2024</v>
      </c>
      <c r="T233" s="53" t="str">
        <f t="shared" si="391"/>
        <v>Summer 2025</v>
      </c>
      <c r="U233" s="53" t="str">
        <f t="shared" si="391"/>
        <v>Summer 2026</v>
      </c>
      <c r="V233" s="53" t="str">
        <f t="shared" si="391"/>
        <v>Summer 2027</v>
      </c>
      <c r="W233" s="53" t="str">
        <f t="shared" si="391"/>
        <v>Summer 2028</v>
      </c>
      <c r="X233" s="53" t="str">
        <f t="shared" si="391"/>
        <v>Summer 2029</v>
      </c>
      <c r="Y233" s="53" t="str">
        <f t="shared" si="391"/>
        <v>Summer 2030</v>
      </c>
      <c r="Z233" s="53" t="str">
        <f t="shared" si="391"/>
        <v>Summer 2031</v>
      </c>
      <c r="AA233" s="53" t="str">
        <f t="shared" si="391"/>
        <v>Summer 2032</v>
      </c>
      <c r="AB233" s="53" t="str">
        <f t="shared" si="391"/>
        <v>Summer 2033</v>
      </c>
      <c r="AC233" s="53" t="str">
        <f t="shared" si="391"/>
        <v>Summer 2034</v>
      </c>
      <c r="AD233" s="53" t="str">
        <f t="shared" ref="AD233" si="392">+AD152</f>
        <v>Summer 2035</v>
      </c>
    </row>
    <row r="234" spans="1:33" x14ac:dyDescent="0.35">
      <c r="A234" s="171"/>
      <c r="B234" s="104" t="str">
        <f t="shared" ref="B234:L234" si="393">IF(AND(B235=$AE$5,$O236=9),$AE$3,IF(AND(B235=$AF$5,$O236=9),$AF$3,IF(AND(B235=$AG$5,$O236=9),$AG$3,IF(AND(B235=$AH$5,$O236=9),$AH$3,IF(AND(B235=$AI$5,$O236=9),$AI$3,IF(AND(B235=$AJ$5,$O236=9),$AJ$3,IF(AND(B235=$AK$5,$O236=9),$AK$3,IF(AND(B235=$AL$5,$O236=9),$AL$3,IF(AND(B235=$AM$5,$O236=9),$AM$3,IF(AND(B235=$AN$5,$O236=9),$AN$3,IF(AND(B235=$AO$5,$O236=9),$AO$3,IF(AND(B235=$AP$5,$O236=9),$AJ$3,IF(AND(B235=$AE$4,$O236=12),$AE$3,IF(AND(B235=$AF$4,$O236=12),$AF$3,IF(AND(B235=$AG$4,$O236=12),$AG$3,IF(AND(B235=$AH$4,$O236=12),$AH$3,IF(AND(B235=$AI$4,$O236=12),$AI$3,IF(AND(B235=$AJ$4,$O236=12),$AJ$3,IF(AND(B235=$AK$4,$O236=12),$AK$3,IF(AND(B235=$AL$4,$O236=12),$AL$3,IF(AND(B235=$AM$4,$O236=12),$AM$3,IF(AND(B235=$AN$4,$O236=12),$AN$3,IF(AND(B235=$AO$4,$O236=12),$AO$3,IF(AND(B235=$AP$4,$O236=12),$AJ$3," "))))))))))))))))))))))))</f>
        <v xml:space="preserve"> </v>
      </c>
      <c r="C234" s="104" t="str">
        <f t="shared" si="393"/>
        <v>Year 1</v>
      </c>
      <c r="D234" s="104" t="str">
        <f t="shared" si="393"/>
        <v>Year 2</v>
      </c>
      <c r="E234" s="104" t="str">
        <f t="shared" si="393"/>
        <v>Year 3</v>
      </c>
      <c r="F234" s="104" t="str">
        <f t="shared" si="393"/>
        <v>Year 4</v>
      </c>
      <c r="G234" s="104" t="str">
        <f t="shared" si="393"/>
        <v>Year 5</v>
      </c>
      <c r="H234" s="104" t="str">
        <f t="shared" si="393"/>
        <v>Year 6</v>
      </c>
      <c r="I234" s="104" t="str">
        <f t="shared" si="393"/>
        <v>Year 7</v>
      </c>
      <c r="J234" s="104" t="str">
        <f t="shared" si="393"/>
        <v>Year 8</v>
      </c>
      <c r="K234" s="104" t="str">
        <f t="shared" si="393"/>
        <v>Year 9</v>
      </c>
      <c r="L234" s="104" t="str">
        <f t="shared" si="393"/>
        <v>Year 10</v>
      </c>
      <c r="M234" s="104" t="str">
        <f t="shared" ref="M234" si="394">IF(AND(M235=$AE$5,$O236=9),$AE$3,IF(AND(M235=$AF$5,$O236=9),$AF$3,IF(AND(M235=$AG$5,$O236=9),$AG$3,IF(AND(M235=$AH$5,$O236=9),$AH$3,IF(AND(M235=$AI$5,$O236=9),$AI$3,IF(AND(M235=$AJ$5,$O236=9),$AJ$3,IF(AND(M235=$AK$5,$O236=9),$AK$3,IF(AND(M235=$AL$5,$O236=9),$AL$3,IF(AND(M235=$AM$5,$O236=9),$AM$3,IF(AND(M235=$AN$5,$O236=9),$AN$3,IF(AND(M235=$AO$5,$O236=9),$AO$3,IF(AND(M235=$AP$5,$O236=9),$AJ$3,IF(AND(M235=$AE$4,$O236=12),$AE$3,IF(AND(M235=$AF$4,$O236=12),$AF$3,IF(AND(M235=$AG$4,$O236=12),$AG$3,IF(AND(M235=$AH$4,$O236=12),$AH$3,IF(AND(M235=$AI$4,$O236=12),$AI$3,IF(AND(M235=$AJ$4,$O236=12),$AJ$3,IF(AND(M235=$AK$4,$O236=12),$AK$3,IF(AND(M235=$AL$4,$O236=12),$AL$3,IF(AND(M235=$AM$4,$O236=12),$AM$3,IF(AND(M235=$AN$4,$O236=12),$AN$3,IF(AND(M235=$AO$4,$O236=12),$AO$3,IF(AND(M235=$AP$4,$O236=12),$AJ$3," "))))))))))))))))))))))))</f>
        <v>Year 11</v>
      </c>
      <c r="N234" s="104"/>
      <c r="O234" s="26"/>
      <c r="P234" s="26"/>
      <c r="Q234" s="186"/>
      <c r="S234" s="34" t="str">
        <f t="shared" ref="S234:AC234" si="395">+S153</f>
        <v>FY2024</v>
      </c>
      <c r="T234" s="34" t="str">
        <f t="shared" si="395"/>
        <v>FY2025</v>
      </c>
      <c r="U234" s="34" t="str">
        <f t="shared" si="395"/>
        <v>FY2026</v>
      </c>
      <c r="V234" s="34" t="str">
        <f t="shared" si="395"/>
        <v>FY2027</v>
      </c>
      <c r="W234" s="34" t="str">
        <f t="shared" si="395"/>
        <v>FY2028</v>
      </c>
      <c r="X234" s="34" t="str">
        <f t="shared" si="395"/>
        <v>FY2029</v>
      </c>
      <c r="Y234" s="34" t="str">
        <f t="shared" si="395"/>
        <v>FY2030</v>
      </c>
      <c r="Z234" s="34" t="str">
        <f t="shared" si="395"/>
        <v>FY2031</v>
      </c>
      <c r="AA234" s="34" t="str">
        <f t="shared" si="395"/>
        <v>FY2032</v>
      </c>
      <c r="AB234" s="34" t="str">
        <f t="shared" si="395"/>
        <v>FY2033</v>
      </c>
      <c r="AC234" s="34" t="str">
        <f t="shared" si="395"/>
        <v>FY2034</v>
      </c>
      <c r="AD234" s="34" t="str">
        <f t="shared" ref="AD234" si="396">+AD153</f>
        <v>FY2035</v>
      </c>
    </row>
    <row r="235" spans="1:33" ht="15" thickBot="1" x14ac:dyDescent="0.4">
      <c r="A235" s="170" t="s">
        <v>74</v>
      </c>
      <c r="B235" s="55" t="str">
        <f t="shared" ref="B235:I235" si="397">+N$2</f>
        <v>FY2023</v>
      </c>
      <c r="C235" s="55" t="str">
        <f t="shared" si="397"/>
        <v>FY2024</v>
      </c>
      <c r="D235" s="55" t="str">
        <f t="shared" si="397"/>
        <v>FY2025</v>
      </c>
      <c r="E235" s="55" t="str">
        <f t="shared" si="397"/>
        <v>FY2026</v>
      </c>
      <c r="F235" s="55" t="str">
        <f t="shared" si="397"/>
        <v>FY2027</v>
      </c>
      <c r="G235" s="55" t="str">
        <f t="shared" si="397"/>
        <v>FY2028</v>
      </c>
      <c r="H235" s="55" t="str">
        <f t="shared" si="397"/>
        <v>FY2029</v>
      </c>
      <c r="I235" s="55" t="str">
        <f t="shared" si="397"/>
        <v>FY2030</v>
      </c>
      <c r="J235" s="55" t="str">
        <f t="shared" ref="J235" si="398">+V$2</f>
        <v>FY2031</v>
      </c>
      <c r="K235" s="55" t="str">
        <f t="shared" ref="K235:M235" si="399">+W$2</f>
        <v>FY2032</v>
      </c>
      <c r="L235" s="55" t="str">
        <f t="shared" si="399"/>
        <v>FY2033</v>
      </c>
      <c r="M235" s="55" t="str">
        <f t="shared" si="399"/>
        <v>FY2034</v>
      </c>
      <c r="N235" s="55"/>
      <c r="O235" s="32" t="s">
        <v>20</v>
      </c>
      <c r="P235" s="89" t="s">
        <v>64</v>
      </c>
      <c r="Q235" s="185"/>
      <c r="R235" s="35" t="s">
        <v>71</v>
      </c>
      <c r="S235" s="50" t="s">
        <v>1</v>
      </c>
      <c r="T235" s="51" t="s">
        <v>2</v>
      </c>
      <c r="U235" s="51" t="s">
        <v>3</v>
      </c>
      <c r="V235" s="51" t="s">
        <v>39</v>
      </c>
      <c r="W235" s="51" t="s">
        <v>45</v>
      </c>
      <c r="X235" s="51" t="s">
        <v>185</v>
      </c>
      <c r="Y235" s="51" t="s">
        <v>186</v>
      </c>
      <c r="Z235" s="51" t="s">
        <v>187</v>
      </c>
      <c r="AA235" s="51" t="s">
        <v>188</v>
      </c>
      <c r="AB235" s="51" t="s">
        <v>189</v>
      </c>
      <c r="AC235" s="51" t="s">
        <v>190</v>
      </c>
      <c r="AD235" s="51" t="s">
        <v>191</v>
      </c>
    </row>
    <row r="236" spans="1:33" x14ac:dyDescent="0.35">
      <c r="A236" s="171" t="str">
        <f>CONCATENATE("Base Salary: ",O236," month term")</f>
        <v>Base Salary: 12 month term</v>
      </c>
      <c r="B236" s="314">
        <v>47476</v>
      </c>
      <c r="C236" s="109">
        <f t="shared" ref="C236:M236" si="400">ROUND(+B236*(1+$P$236),0)</f>
        <v>48900</v>
      </c>
      <c r="D236" s="109">
        <f t="shared" si="400"/>
        <v>50367</v>
      </c>
      <c r="E236" s="109">
        <f t="shared" si="400"/>
        <v>51878</v>
      </c>
      <c r="F236" s="109">
        <f t="shared" si="400"/>
        <v>53434</v>
      </c>
      <c r="G236" s="109">
        <f t="shared" si="400"/>
        <v>55037</v>
      </c>
      <c r="H236" s="109">
        <f t="shared" si="400"/>
        <v>56688</v>
      </c>
      <c r="I236" s="109">
        <f t="shared" si="400"/>
        <v>58389</v>
      </c>
      <c r="J236" s="109">
        <f t="shared" si="400"/>
        <v>60141</v>
      </c>
      <c r="K236" s="109">
        <f t="shared" si="400"/>
        <v>61945</v>
      </c>
      <c r="L236" s="109">
        <f t="shared" si="400"/>
        <v>63803</v>
      </c>
      <c r="M236" s="109">
        <f t="shared" si="400"/>
        <v>65717</v>
      </c>
      <c r="N236" s="109"/>
      <c r="O236" s="319">
        <v>12</v>
      </c>
      <c r="P236" s="312">
        <v>0.03</v>
      </c>
      <c r="Q236" s="187"/>
      <c r="R236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236" s="60">
        <f t="shared" ref="S236:X238" si="401">+B242</f>
        <v>0</v>
      </c>
      <c r="T236" s="60">
        <f t="shared" si="401"/>
        <v>0</v>
      </c>
      <c r="U236" s="60">
        <f t="shared" si="401"/>
        <v>0</v>
      </c>
      <c r="V236" s="60">
        <f t="shared" si="401"/>
        <v>0</v>
      </c>
      <c r="W236" s="60">
        <f t="shared" si="401"/>
        <v>0</v>
      </c>
      <c r="X236" s="60">
        <f t="shared" si="401"/>
        <v>0</v>
      </c>
      <c r="Y236" s="60">
        <f t="shared" ref="Y236:Y238" si="402">+H242</f>
        <v>0</v>
      </c>
      <c r="Z236" s="60">
        <f t="shared" ref="Z236:Z238" si="403">+I242</f>
        <v>0</v>
      </c>
      <c r="AA236" s="60">
        <f t="shared" ref="AA236:AA238" si="404">+J242</f>
        <v>0</v>
      </c>
      <c r="AB236" s="60">
        <f t="shared" ref="AB236:AB238" si="405">+K242</f>
        <v>0</v>
      </c>
      <c r="AC236" s="60">
        <f t="shared" ref="AC236:AD238" si="406">+L242</f>
        <v>0</v>
      </c>
      <c r="AD236" s="60">
        <f t="shared" si="406"/>
        <v>0</v>
      </c>
    </row>
    <row r="237" spans="1:33" x14ac:dyDescent="0.35">
      <c r="A237" s="171" t="s">
        <v>44</v>
      </c>
      <c r="B237" s="313">
        <v>0</v>
      </c>
      <c r="C237" s="313">
        <v>0</v>
      </c>
      <c r="D237" s="313">
        <v>0</v>
      </c>
      <c r="E237" s="313">
        <v>0</v>
      </c>
      <c r="F237" s="313">
        <v>0</v>
      </c>
      <c r="G237" s="313">
        <v>0</v>
      </c>
      <c r="H237" s="313">
        <v>0</v>
      </c>
      <c r="I237" s="313">
        <v>0</v>
      </c>
      <c r="J237" s="313">
        <v>0</v>
      </c>
      <c r="K237" s="313">
        <v>0</v>
      </c>
      <c r="L237" s="313">
        <v>0</v>
      </c>
      <c r="M237" s="313">
        <v>0</v>
      </c>
      <c r="N237" s="402"/>
      <c r="O237" s="25"/>
      <c r="P237" s="25"/>
      <c r="Q237" s="171"/>
      <c r="R237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237" s="60">
        <f t="shared" si="401"/>
        <v>0</v>
      </c>
      <c r="T237" s="60">
        <f t="shared" si="401"/>
        <v>0</v>
      </c>
      <c r="U237" s="60">
        <f t="shared" si="401"/>
        <v>0</v>
      </c>
      <c r="V237" s="60">
        <f t="shared" si="401"/>
        <v>0</v>
      </c>
      <c r="W237" s="60">
        <f t="shared" si="401"/>
        <v>0</v>
      </c>
      <c r="X237" s="60">
        <f t="shared" si="401"/>
        <v>0</v>
      </c>
      <c r="Y237" s="60">
        <f t="shared" si="402"/>
        <v>0</v>
      </c>
      <c r="Z237" s="60">
        <f t="shared" si="403"/>
        <v>0</v>
      </c>
      <c r="AA237" s="60">
        <f t="shared" si="404"/>
        <v>0</v>
      </c>
      <c r="AB237" s="60">
        <f t="shared" si="405"/>
        <v>0</v>
      </c>
      <c r="AC237" s="60">
        <f t="shared" si="406"/>
        <v>0</v>
      </c>
      <c r="AD237" s="60">
        <f t="shared" si="406"/>
        <v>0</v>
      </c>
    </row>
    <row r="238" spans="1:33" x14ac:dyDescent="0.35">
      <c r="A238" s="171" t="str">
        <f>CONCATENATE("FTE for ",O236," Months")</f>
        <v>FTE for 12 Months</v>
      </c>
      <c r="B238" s="395">
        <f t="shared" ref="B238:L238" si="407">+B237/$O236</f>
        <v>0</v>
      </c>
      <c r="C238" s="395">
        <f t="shared" si="407"/>
        <v>0</v>
      </c>
      <c r="D238" s="395">
        <f t="shared" si="407"/>
        <v>0</v>
      </c>
      <c r="E238" s="395">
        <f t="shared" si="407"/>
        <v>0</v>
      </c>
      <c r="F238" s="395">
        <f t="shared" si="407"/>
        <v>0</v>
      </c>
      <c r="G238" s="395">
        <f t="shared" si="407"/>
        <v>0</v>
      </c>
      <c r="H238" s="395">
        <f t="shared" si="407"/>
        <v>0</v>
      </c>
      <c r="I238" s="395">
        <f t="shared" si="407"/>
        <v>0</v>
      </c>
      <c r="J238" s="395">
        <f t="shared" si="407"/>
        <v>0</v>
      </c>
      <c r="K238" s="395">
        <f t="shared" si="407"/>
        <v>0</v>
      </c>
      <c r="L238" s="395">
        <f t="shared" si="407"/>
        <v>0</v>
      </c>
      <c r="M238" s="395">
        <f t="shared" ref="M238" si="408">+M237/$O236</f>
        <v>0</v>
      </c>
      <c r="N238" s="403"/>
      <c r="O238" s="89"/>
      <c r="P238" s="89"/>
      <c r="Q238" s="185"/>
      <c r="R238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238" s="60">
        <f t="shared" si="401"/>
        <v>0</v>
      </c>
      <c r="T238" s="60">
        <f t="shared" si="401"/>
        <v>0</v>
      </c>
      <c r="U238" s="60">
        <f t="shared" si="401"/>
        <v>0</v>
      </c>
      <c r="V238" s="60">
        <f t="shared" si="401"/>
        <v>0</v>
      </c>
      <c r="W238" s="60">
        <f t="shared" si="401"/>
        <v>0</v>
      </c>
      <c r="X238" s="60">
        <f t="shared" si="401"/>
        <v>0</v>
      </c>
      <c r="Y238" s="60">
        <f t="shared" si="402"/>
        <v>0</v>
      </c>
      <c r="Z238" s="60">
        <f t="shared" si="403"/>
        <v>0</v>
      </c>
      <c r="AA238" s="60">
        <f t="shared" si="404"/>
        <v>0</v>
      </c>
      <c r="AB238" s="60">
        <f t="shared" si="405"/>
        <v>0</v>
      </c>
      <c r="AC238" s="60">
        <f t="shared" si="406"/>
        <v>0</v>
      </c>
      <c r="AD238" s="60">
        <f t="shared" si="406"/>
        <v>0</v>
      </c>
    </row>
    <row r="239" spans="1:33" x14ac:dyDescent="0.35">
      <c r="A239" s="171" t="s">
        <v>21</v>
      </c>
      <c r="B239" s="110">
        <f t="shared" ref="B239:K239" si="409">ROUND((B236*B238*$Q$35)+(C236*B238*$Q$36),0)</f>
        <v>0</v>
      </c>
      <c r="C239" s="110">
        <f t="shared" si="409"/>
        <v>0</v>
      </c>
      <c r="D239" s="110">
        <f t="shared" si="409"/>
        <v>0</v>
      </c>
      <c r="E239" s="110">
        <f t="shared" si="409"/>
        <v>0</v>
      </c>
      <c r="F239" s="110">
        <f t="shared" si="409"/>
        <v>0</v>
      </c>
      <c r="G239" s="110">
        <f t="shared" si="409"/>
        <v>0</v>
      </c>
      <c r="H239" s="110">
        <f t="shared" si="409"/>
        <v>0</v>
      </c>
      <c r="I239" s="110">
        <f t="shared" si="409"/>
        <v>0</v>
      </c>
      <c r="J239" s="110">
        <f t="shared" si="409"/>
        <v>0</v>
      </c>
      <c r="K239" s="110">
        <f t="shared" si="409"/>
        <v>0</v>
      </c>
      <c r="L239" s="110">
        <f>ROUND((L236*L238*$Q$35)+(N236*L238*$Q$36),0)</f>
        <v>0</v>
      </c>
      <c r="M239" s="110">
        <f>ROUND((M236*M238*$Q$35)+(O236*M238*$Q$36),0)</f>
        <v>0</v>
      </c>
      <c r="N239" s="404"/>
      <c r="O239" s="89"/>
      <c r="P239" s="89"/>
      <c r="Q239" s="185"/>
      <c r="R239" s="25"/>
      <c r="S239" s="33"/>
      <c r="T239" s="33"/>
      <c r="U239" s="33"/>
      <c r="V239" s="33"/>
      <c r="W239" s="33"/>
      <c r="X239" s="33"/>
      <c r="Y239" s="23"/>
    </row>
    <row r="240" spans="1:33" x14ac:dyDescent="0.35">
      <c r="A240" s="171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89"/>
      <c r="P240" s="89"/>
      <c r="Q240" s="185"/>
      <c r="R240" s="25"/>
      <c r="S240" s="33"/>
      <c r="T240" s="33"/>
      <c r="U240" s="33"/>
      <c r="V240" s="33"/>
      <c r="W240" s="33"/>
      <c r="X240" s="33"/>
      <c r="Y240" s="23"/>
    </row>
    <row r="241" spans="1:28" ht="15" thickBot="1" x14ac:dyDescent="0.4">
      <c r="A241" s="170" t="s">
        <v>70</v>
      </c>
      <c r="B241" s="24" t="s">
        <v>1</v>
      </c>
      <c r="C241" s="24" t="s">
        <v>2</v>
      </c>
      <c r="D241" s="24" t="s">
        <v>3</v>
      </c>
      <c r="E241" s="24" t="s">
        <v>39</v>
      </c>
      <c r="F241" s="24" t="s">
        <v>45</v>
      </c>
      <c r="G241" s="24" t="s">
        <v>185</v>
      </c>
      <c r="H241" s="24" t="s">
        <v>186</v>
      </c>
      <c r="I241" s="24" t="s">
        <v>187</v>
      </c>
      <c r="J241" s="24" t="s">
        <v>188</v>
      </c>
      <c r="K241" s="24" t="s">
        <v>189</v>
      </c>
      <c r="L241" s="23"/>
      <c r="M241" s="23"/>
      <c r="N241" s="23"/>
      <c r="O241" s="89"/>
      <c r="P241" s="89"/>
      <c r="Q241" s="185"/>
      <c r="R241" s="427" t="s">
        <v>105</v>
      </c>
      <c r="S241" s="50" t="s">
        <v>1</v>
      </c>
      <c r="T241" s="51" t="s">
        <v>2</v>
      </c>
      <c r="U241" s="51" t="s">
        <v>3</v>
      </c>
      <c r="V241" s="51" t="s">
        <v>39</v>
      </c>
      <c r="W241" s="51" t="s">
        <v>45</v>
      </c>
      <c r="X241" s="51" t="s">
        <v>185</v>
      </c>
      <c r="Y241" s="51" t="s">
        <v>186</v>
      </c>
      <c r="Z241" s="51" t="s">
        <v>187</v>
      </c>
      <c r="AA241" s="51" t="s">
        <v>188</v>
      </c>
      <c r="AB241" s="51" t="s">
        <v>189</v>
      </c>
    </row>
    <row r="242" spans="1:28" x14ac:dyDescent="0.35">
      <c r="A242" s="171" t="str">
        <f>+R236</f>
        <v>Number of Students (Fall)</v>
      </c>
      <c r="B242" s="315">
        <v>0</v>
      </c>
      <c r="C242" s="315">
        <v>0</v>
      </c>
      <c r="D242" s="315">
        <v>0</v>
      </c>
      <c r="E242" s="315">
        <v>0</v>
      </c>
      <c r="F242" s="315">
        <v>0</v>
      </c>
      <c r="G242" s="315">
        <v>0</v>
      </c>
      <c r="H242" s="315">
        <v>0</v>
      </c>
      <c r="I242" s="315">
        <v>0</v>
      </c>
      <c r="J242" s="315">
        <v>0</v>
      </c>
      <c r="K242" s="315">
        <v>0</v>
      </c>
      <c r="L242" s="23"/>
      <c r="M242" s="23"/>
      <c r="N242" s="23"/>
      <c r="O242" s="89"/>
      <c r="P242" s="89"/>
      <c r="Q242" s="185"/>
      <c r="R242" s="36" t="s">
        <v>22</v>
      </c>
      <c r="S242" s="37">
        <f>SUM(S252:S254)</f>
        <v>0</v>
      </c>
      <c r="T242" s="37">
        <f>SUM(T252:T254)</f>
        <v>0</v>
      </c>
      <c r="U242" s="37">
        <f>SUM(U252:U254)</f>
        <v>0</v>
      </c>
      <c r="V242" s="37">
        <f>SUM(V252:V254)</f>
        <v>0</v>
      </c>
      <c r="W242" s="37">
        <f t="shared" ref="W242:AB242" si="410">SUM(W252:W254)</f>
        <v>0</v>
      </c>
      <c r="X242" s="37">
        <f t="shared" si="410"/>
        <v>0</v>
      </c>
      <c r="Y242" s="37">
        <f t="shared" si="410"/>
        <v>0</v>
      </c>
      <c r="Z242" s="37">
        <f t="shared" si="410"/>
        <v>0</v>
      </c>
      <c r="AA242" s="37">
        <f t="shared" si="410"/>
        <v>0</v>
      </c>
      <c r="AB242" s="37">
        <f t="shared" si="410"/>
        <v>0</v>
      </c>
    </row>
    <row r="243" spans="1:28" x14ac:dyDescent="0.35">
      <c r="A243" s="171" t="str">
        <f>+R237</f>
        <v>Number of Students (Spring)</v>
      </c>
      <c r="B243" s="316">
        <f>+B242</f>
        <v>0</v>
      </c>
      <c r="C243" s="316">
        <f>+C242</f>
        <v>0</v>
      </c>
      <c r="D243" s="316">
        <f>+D242</f>
        <v>0</v>
      </c>
      <c r="E243" s="316">
        <f>+E242</f>
        <v>0</v>
      </c>
      <c r="F243" s="316">
        <f>+F242</f>
        <v>0</v>
      </c>
      <c r="G243" s="316">
        <f t="shared" ref="G243:K243" si="411">+G242</f>
        <v>0</v>
      </c>
      <c r="H243" s="316">
        <f t="shared" si="411"/>
        <v>0</v>
      </c>
      <c r="I243" s="316">
        <f t="shared" si="411"/>
        <v>0</v>
      </c>
      <c r="J243" s="316">
        <f t="shared" si="411"/>
        <v>0</v>
      </c>
      <c r="K243" s="316">
        <f t="shared" si="411"/>
        <v>0</v>
      </c>
      <c r="L243" s="23"/>
      <c r="M243" s="23"/>
      <c r="N243" s="23"/>
      <c r="O243" s="89"/>
      <c r="P243" s="89"/>
      <c r="Q243" s="185"/>
      <c r="R243" s="36" t="s">
        <v>8</v>
      </c>
      <c r="S243" s="37">
        <f>SUM(S255:S257)</f>
        <v>0</v>
      </c>
      <c r="T243" s="37">
        <f>SUM(T255:T257)</f>
        <v>0</v>
      </c>
      <c r="U243" s="37">
        <f>SUM(U255:U257)</f>
        <v>0</v>
      </c>
      <c r="V243" s="37">
        <f>SUM(V255:V257)</f>
        <v>0</v>
      </c>
      <c r="W243" s="37">
        <f t="shared" ref="W243:AB243" si="412">SUM(W255:W257)</f>
        <v>0</v>
      </c>
      <c r="X243" s="37">
        <f t="shared" si="412"/>
        <v>0</v>
      </c>
      <c r="Y243" s="37">
        <f t="shared" si="412"/>
        <v>0</v>
      </c>
      <c r="Z243" s="37">
        <f t="shared" si="412"/>
        <v>0</v>
      </c>
      <c r="AA243" s="37">
        <f t="shared" si="412"/>
        <v>0</v>
      </c>
      <c r="AB243" s="37">
        <f t="shared" si="412"/>
        <v>0</v>
      </c>
    </row>
    <row r="244" spans="1:28" x14ac:dyDescent="0.35">
      <c r="A244" s="171" t="str">
        <f>+R238</f>
        <v>Number of Students (Summer)</v>
      </c>
      <c r="B244" s="316">
        <f>+B242</f>
        <v>0</v>
      </c>
      <c r="C244" s="316">
        <f>+C242</f>
        <v>0</v>
      </c>
      <c r="D244" s="316">
        <f>+D242</f>
        <v>0</v>
      </c>
      <c r="E244" s="316">
        <f>+E242</f>
        <v>0</v>
      </c>
      <c r="F244" s="316">
        <f>+F242</f>
        <v>0</v>
      </c>
      <c r="G244" s="316">
        <f t="shared" ref="G244:K244" si="413">+G242</f>
        <v>0</v>
      </c>
      <c r="H244" s="316">
        <f t="shared" si="413"/>
        <v>0</v>
      </c>
      <c r="I244" s="316">
        <f t="shared" si="413"/>
        <v>0</v>
      </c>
      <c r="J244" s="316">
        <f t="shared" si="413"/>
        <v>0</v>
      </c>
      <c r="K244" s="316">
        <f t="shared" si="413"/>
        <v>0</v>
      </c>
      <c r="L244" s="23"/>
      <c r="M244" s="23"/>
      <c r="N244" s="23"/>
      <c r="O244" s="89"/>
      <c r="P244" s="89"/>
      <c r="Q244" s="185"/>
      <c r="R244" s="36" t="s">
        <v>9</v>
      </c>
      <c r="S244" s="37">
        <f>SUM(S258:S260)</f>
        <v>0</v>
      </c>
      <c r="T244" s="37">
        <f>SUM(T258:T260)</f>
        <v>0</v>
      </c>
      <c r="U244" s="37">
        <f>SUM(U258:U260)</f>
        <v>0</v>
      </c>
      <c r="V244" s="37">
        <f>SUM(V258:V260)</f>
        <v>0</v>
      </c>
      <c r="W244" s="37">
        <f t="shared" ref="W244:AB244" si="414">SUM(W258:W260)</f>
        <v>0</v>
      </c>
      <c r="X244" s="37">
        <f t="shared" si="414"/>
        <v>0</v>
      </c>
      <c r="Y244" s="37">
        <f t="shared" si="414"/>
        <v>0</v>
      </c>
      <c r="Z244" s="37">
        <f t="shared" si="414"/>
        <v>0</v>
      </c>
      <c r="AA244" s="37">
        <f t="shared" si="414"/>
        <v>0</v>
      </c>
      <c r="AB244" s="37">
        <f t="shared" si="414"/>
        <v>0</v>
      </c>
    </row>
    <row r="245" spans="1:28" ht="15" thickBot="1" x14ac:dyDescent="0.4">
      <c r="A245" s="171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23"/>
      <c r="M245" s="23"/>
      <c r="N245" s="23"/>
      <c r="O245" s="89"/>
      <c r="P245" s="89"/>
      <c r="Q245" s="185"/>
      <c r="R245" s="38" t="s">
        <v>31</v>
      </c>
      <c r="S245" s="39">
        <f>SUM(S242:S244)</f>
        <v>0</v>
      </c>
      <c r="T245" s="39">
        <f>SUM(T242:T244)</f>
        <v>0</v>
      </c>
      <c r="U245" s="39">
        <f>SUM(U242:U244)</f>
        <v>0</v>
      </c>
      <c r="V245" s="39">
        <f>SUM(V242:V244)</f>
        <v>0</v>
      </c>
      <c r="W245" s="39">
        <f t="shared" ref="W245" si="415">SUM(W242:W244)</f>
        <v>0</v>
      </c>
      <c r="X245" s="39">
        <f t="shared" ref="X245" si="416">SUM(X242:X244)</f>
        <v>0</v>
      </c>
      <c r="Y245" s="39">
        <f t="shared" ref="Y245" si="417">SUM(Y242:Y244)</f>
        <v>0</v>
      </c>
      <c r="Z245" s="39">
        <f t="shared" ref="Z245" si="418">SUM(Z242:Z244)</f>
        <v>0</v>
      </c>
      <c r="AA245" s="39">
        <f t="shared" ref="AA245" si="419">SUM(AA242:AA244)</f>
        <v>0</v>
      </c>
      <c r="AB245" s="39">
        <f t="shared" ref="AB245" si="420">SUM(AB242:AB244)</f>
        <v>0</v>
      </c>
    </row>
    <row r="246" spans="1:28" x14ac:dyDescent="0.35">
      <c r="A246" s="170" t="s">
        <v>73</v>
      </c>
      <c r="B246" s="24" t="s">
        <v>1</v>
      </c>
      <c r="C246" s="24" t="s">
        <v>2</v>
      </c>
      <c r="D246" s="24" t="s">
        <v>3</v>
      </c>
      <c r="E246" s="24" t="s">
        <v>39</v>
      </c>
      <c r="F246" s="24" t="s">
        <v>45</v>
      </c>
      <c r="G246" s="24" t="s">
        <v>185</v>
      </c>
      <c r="H246" s="24" t="s">
        <v>186</v>
      </c>
      <c r="I246" s="24" t="s">
        <v>187</v>
      </c>
      <c r="J246" s="24" t="s">
        <v>188</v>
      </c>
      <c r="K246" s="24" t="s">
        <v>189</v>
      </c>
      <c r="Q246" s="173"/>
      <c r="S246" s="116"/>
      <c r="Y246" s="23"/>
    </row>
    <row r="247" spans="1:28" x14ac:dyDescent="0.35">
      <c r="A247" s="171" t="s">
        <v>69</v>
      </c>
      <c r="B247" s="313">
        <f>Minimum_Undergraduate_rate</f>
        <v>14.2</v>
      </c>
      <c r="C247" s="313">
        <f>+B247</f>
        <v>14.2</v>
      </c>
      <c r="D247" s="313">
        <f t="shared" ref="D247" si="421">+C247</f>
        <v>14.2</v>
      </c>
      <c r="E247" s="313">
        <f t="shared" ref="E247" si="422">+D247</f>
        <v>14.2</v>
      </c>
      <c r="F247" s="313">
        <f t="shared" ref="F247" si="423">+E247</f>
        <v>14.2</v>
      </c>
      <c r="G247" s="313">
        <f t="shared" ref="G247" si="424">+F247</f>
        <v>14.2</v>
      </c>
      <c r="H247" s="313">
        <f t="shared" ref="H247" si="425">+G247</f>
        <v>14.2</v>
      </c>
      <c r="I247" s="313">
        <f t="shared" ref="I247" si="426">+H247</f>
        <v>14.2</v>
      </c>
      <c r="J247" s="313">
        <f t="shared" ref="J247" si="427">+I247</f>
        <v>14.2</v>
      </c>
      <c r="K247" s="313">
        <f t="shared" ref="K247" si="428">+J247</f>
        <v>14.2</v>
      </c>
      <c r="Q247" s="173"/>
      <c r="Y247" s="23"/>
    </row>
    <row r="248" spans="1:28" x14ac:dyDescent="0.35">
      <c r="A248" s="171" t="s">
        <v>60</v>
      </c>
      <c r="B248" s="317">
        <v>0</v>
      </c>
      <c r="C248" s="317">
        <v>0</v>
      </c>
      <c r="D248" s="317">
        <v>0</v>
      </c>
      <c r="E248" s="317">
        <v>0</v>
      </c>
      <c r="F248" s="317">
        <v>0</v>
      </c>
      <c r="G248" s="317">
        <v>0</v>
      </c>
      <c r="H248" s="317">
        <v>0</v>
      </c>
      <c r="I248" s="317">
        <v>0</v>
      </c>
      <c r="J248" s="317">
        <v>0</v>
      </c>
      <c r="K248" s="317">
        <v>0</v>
      </c>
      <c r="Q248" s="173"/>
      <c r="R248" s="117"/>
      <c r="S248" s="53" t="str">
        <f>CONCATENATE("FY",$AD$3)</f>
        <v>FY2024</v>
      </c>
      <c r="T248" s="53" t="str">
        <f>CONCATENATE("FY",$AD$3+1)</f>
        <v>FY2025</v>
      </c>
      <c r="U248" s="53" t="str">
        <f>CONCATENATE("FY",$AD$3+2)</f>
        <v>FY2026</v>
      </c>
      <c r="V248" s="53" t="str">
        <f>CONCATENATE("FY",$AD$3+3)</f>
        <v>FY2027</v>
      </c>
      <c r="W248" s="53" t="str">
        <f>CONCATENATE("FY",$AD$3+4)</f>
        <v>FY2028</v>
      </c>
      <c r="X248" s="53" t="str">
        <f>CONCATENATE("FY",$AD$3+5)</f>
        <v>FY2029</v>
      </c>
      <c r="Y248" s="53" t="str">
        <f>CONCATENATE("FY",$AD$3+6)</f>
        <v>FY2030</v>
      </c>
      <c r="Z248" s="53" t="str">
        <f>CONCATENATE("FY",$AD$3+7)</f>
        <v>FY2031</v>
      </c>
      <c r="AA248" s="53" t="str">
        <f>CONCATENATE("FY",$AD$3+8)</f>
        <v>FY2032</v>
      </c>
      <c r="AB248" s="53" t="str">
        <f>CONCATENATE("FY",$AD$3+9)</f>
        <v>FY2033</v>
      </c>
    </row>
    <row r="249" spans="1:28" x14ac:dyDescent="0.35">
      <c r="A249" s="171" t="s">
        <v>61</v>
      </c>
      <c r="B249" s="317">
        <v>0</v>
      </c>
      <c r="C249" s="317">
        <v>0</v>
      </c>
      <c r="D249" s="317">
        <v>0</v>
      </c>
      <c r="E249" s="317">
        <v>0</v>
      </c>
      <c r="F249" s="317">
        <v>0</v>
      </c>
      <c r="G249" s="317">
        <v>0</v>
      </c>
      <c r="H249" s="317">
        <v>0</v>
      </c>
      <c r="I249" s="317">
        <v>0</v>
      </c>
      <c r="J249" s="317">
        <v>0</v>
      </c>
      <c r="K249" s="317">
        <v>0</v>
      </c>
      <c r="Q249" s="173"/>
      <c r="R249" s="118"/>
      <c r="S249" s="53" t="str">
        <f>IF(OR($AD$2&gt;=7,$AD$2&lt;=2),CONCATENATE("FY",$AD$3),IF(AND($AD$2&gt;=3,$AD$2&lt;=6),CONCATENATE("FY",$AD$3+1),"N/A"))</f>
        <v>FY2024</v>
      </c>
      <c r="T249" s="53" t="str">
        <f>IF(OR($AD$2&gt;=7,$AD$2&lt;=2),CONCATENATE("FY",$AD$3+1),IF(AND($AD$2&gt;=3,$AD$2&lt;=6),CONCATENATE("FY",$AD$3+2),"N/A"))</f>
        <v>FY2025</v>
      </c>
      <c r="U249" s="53" t="str">
        <f>IF(OR($AD$2&gt;=7,$AD$2&lt;=2),CONCATENATE("FY",$AD$3+2),IF(AND($AD$2&gt;=3,$AD$2&lt;=6),CONCATENATE("FY",$AD$3+3),"N/A"))</f>
        <v>FY2026</v>
      </c>
      <c r="V249" s="53" t="str">
        <f>IF(OR($AD$2&gt;=7,$AD$2&lt;=2),CONCATENATE("FY",$AD$3+3),IF(AND($AD$2&gt;=3,$AD$2&lt;=6),CONCATENATE("FY",$AD$3+4),"N/A"))</f>
        <v>FY2027</v>
      </c>
      <c r="W249" s="53" t="str">
        <f>IF(OR($AD$2&gt;=7,$AD$2&lt;=2),CONCATENATE("FY",$AD$3+4),IF(AND($AD$2&gt;=3,$AD$2&lt;=6),CONCATENATE("FY",$AD$3+5),"N/A"))</f>
        <v>FY2028</v>
      </c>
      <c r="X249" s="53" t="str">
        <f>IF(OR($AD$2&gt;=7,$AD$2&lt;=2),CONCATENATE("FY",$AD$3+5),IF(AND($AD$2&gt;=3,$AD$2&lt;=6),CONCATENATE("FY",$AD$3+6),"N/A"))</f>
        <v>FY2029</v>
      </c>
      <c r="Y249" s="53" t="str">
        <f>IF(OR($AD$2&gt;=7,$AD$2&lt;=2),CONCATENATE("FY",$AD$3+6),IF(AND($AD$2&gt;=3,$AD$2&lt;=6),CONCATENATE("FY",$AD$3+7),"N/A"))</f>
        <v>FY2030</v>
      </c>
      <c r="Z249" s="53" t="str">
        <f>IF(OR($AD$2&gt;=7,$AD$2&lt;=2),CONCATENATE("FY",$AD$3+7),IF(AND($AD$2&gt;=3,$AD$2&lt;=6),CONCATENATE("FY",$AD$3+8),"N/A"))</f>
        <v>FY2031</v>
      </c>
      <c r="AA249" s="53" t="str">
        <f>IF(OR($AD$2&gt;=7,$AD$2&lt;=2),CONCATENATE("FY",$AD$3+8),IF(AND($AD$2&gt;=3,$AD$2&lt;=6),CONCATENATE("FY",$AD$3+9),"N/A"))</f>
        <v>FY2032</v>
      </c>
      <c r="AB249" s="53" t="str">
        <f>IF(OR($AD$2&gt;=7,$AD$2&lt;=2),CONCATENATE("FY",$AD$3+9),IF(AND($AD$2&gt;=3,$AD$2&lt;=6),CONCATENATE("FY",$AD$3+10),"N/A"))</f>
        <v>FY2033</v>
      </c>
    </row>
    <row r="250" spans="1:28" x14ac:dyDescent="0.35">
      <c r="A250" s="171" t="s">
        <v>66</v>
      </c>
      <c r="B250" s="54">
        <f>ROUND(B247*(B248*B249),0)</f>
        <v>0</v>
      </c>
      <c r="C250" s="54">
        <f t="shared" ref="C250:F250" si="429">ROUND(C247*(C248*C249),0)</f>
        <v>0</v>
      </c>
      <c r="D250" s="54">
        <f t="shared" si="429"/>
        <v>0</v>
      </c>
      <c r="E250" s="54">
        <f t="shared" si="429"/>
        <v>0</v>
      </c>
      <c r="F250" s="54">
        <f t="shared" si="429"/>
        <v>0</v>
      </c>
      <c r="G250" s="54">
        <f t="shared" ref="G250:K250" si="430">ROUND(G247*(G248*G249),0)</f>
        <v>0</v>
      </c>
      <c r="H250" s="54">
        <f t="shared" si="430"/>
        <v>0</v>
      </c>
      <c r="I250" s="54">
        <f t="shared" si="430"/>
        <v>0</v>
      </c>
      <c r="J250" s="54">
        <f t="shared" si="430"/>
        <v>0</v>
      </c>
      <c r="K250" s="54">
        <f t="shared" si="430"/>
        <v>0</v>
      </c>
      <c r="Q250" s="173"/>
      <c r="R250" s="53"/>
      <c r="S250" s="53" t="str">
        <f>IF(AND($AD$2&gt;=1,$AD$2&lt;=6),CONCATENATE("FY",$AD$3+1),IF(AND($AD$2&gt;=7,$AD$2&lt;=9),CONCATENATE("FY",$AD$3),IF(AND($AD$2&gt;=10,$AD$2&lt;=126),CONCATENATE("FY",$AD$3+1),"N/A")))</f>
        <v>FY2024</v>
      </c>
      <c r="T250" s="53" t="str">
        <f>IF(AND($AD$2&gt;=1,$AD$2&lt;=6),CONCATENATE("FY",$AD$3+2),IF(AND($AD$2&gt;=7,$AD$2&lt;=9),CONCATENATE("FY",$AD$3+1),IF(AND($AD$2&gt;=10,$AD$2&lt;=126),CONCATENATE("FY",$AD$3+2),"N/A")))</f>
        <v>FY2025</v>
      </c>
      <c r="U250" s="53" t="str">
        <f>IF(AND($AD$2&gt;=1,$AD$2&lt;=6),CONCATENATE("FY",$AD$3+3),IF(AND($AD$2&gt;=7,$AD$2&lt;=9),CONCATENATE("FY",$AD$3+2),IF(AND($AD$2&gt;=10,$AD$2&lt;=126),CONCATENATE("FY",$AD$3+3),"N/A")))</f>
        <v>FY2026</v>
      </c>
      <c r="V250" s="53" t="str">
        <f>IF(AND($AD$2&gt;=1,$AD$2&lt;=6),CONCATENATE("FY",$AD$3+4),IF(AND($AD$2&gt;=7,$AD$2&lt;=9),CONCATENATE("FY",$AD$3+3),IF(AND($AD$2&gt;=10,$AD$2&lt;=126),CONCATENATE("FY",$AD$3+4),"N/A")))</f>
        <v>FY2027</v>
      </c>
      <c r="W250" s="53" t="str">
        <f>IF(AND($AD$2&gt;=1,$AD$2&lt;=6),CONCATENATE("FY",$AD$3+5),IF(AND($AD$2&gt;=7,$AD$2&lt;=9),CONCATENATE("FY",$AD$3+4),IF(AND($AD$2&gt;=10,$AD$2&lt;=126),CONCATENATE("FY",$AD$3+5),"N/A")))</f>
        <v>FY2028</v>
      </c>
      <c r="X250" s="53" t="str">
        <f>IF(AND($AD$2&gt;=1,$AD$2&lt;=6),CONCATENATE("FY",$AD$3+6),IF(AND($AD$2&gt;=7,$AD$2&lt;=9),CONCATENATE("FY",$AD$3+5),IF(AND($AD$2&gt;=10,$AD$2&lt;=126),CONCATENATE("FY",$AD$3+6),"N/A")))</f>
        <v>FY2029</v>
      </c>
      <c r="Y250" s="53" t="str">
        <f>IF(AND($AD$2&gt;=1,$AD$2&lt;=6),CONCATENATE("FY",$AD$3+6),IF(AND($AD$2&gt;=7,$AD$2&lt;=9),CONCATENATE("FY",$AD$3+6),IF(AND($AD$2&gt;=10,$AD$2&lt;=126),CONCATENATE("FY",$AD$3+7),"N/A")))</f>
        <v>FY2030</v>
      </c>
      <c r="Z250" s="53" t="str">
        <f>IF(AND($AD$2&gt;=1,$AD$2&lt;=6),CONCATENATE("FY",$AD$3+6),IF(AND($AD$2&gt;=7,$AD$2&lt;=9),CONCATENATE("FY",$AD$3+7),IF(AND($AD$2&gt;=10,$AD$2&lt;=126),CONCATENATE("FY",$AD$3+8),"N/A")))</f>
        <v>FY2031</v>
      </c>
      <c r="AA250" s="53" t="str">
        <f>IF(AND($AD$2&gt;=1,$AD$2&lt;=6),CONCATENATE("FY",$AD$3+6),IF(AND($AD$2&gt;=7,$AD$2&lt;=9),CONCATENATE("FY",$AD$3+8),IF(AND($AD$2&gt;=10,$AD$2&lt;=126),CONCATENATE("FY",$AD$3+9),"N/A")))</f>
        <v>FY2032</v>
      </c>
      <c r="AB250" s="53" t="str">
        <f>IF(AND($AD$2&gt;=1,$AD$2&lt;=6),CONCATENATE("FY",$AD$3+6),IF(AND($AD$2&gt;=7,$AD$2&lt;=9),CONCATENATE("FY",$AD$3+9),IF(AND($AD$2&gt;=10,$AD$2&lt;=126),CONCATENATE("FY",$AD$3+10),"N/A")))</f>
        <v>FY2033</v>
      </c>
    </row>
    <row r="251" spans="1:28" ht="15" thickBot="1" x14ac:dyDescent="0.4">
      <c r="A251" s="171" t="s">
        <v>58</v>
      </c>
      <c r="B251" s="317">
        <v>0</v>
      </c>
      <c r="C251" s="317">
        <v>0</v>
      </c>
      <c r="D251" s="317">
        <v>0</v>
      </c>
      <c r="E251" s="317">
        <v>0</v>
      </c>
      <c r="F251" s="317">
        <v>0</v>
      </c>
      <c r="G251" s="317">
        <v>0</v>
      </c>
      <c r="H251" s="317">
        <v>0</v>
      </c>
      <c r="I251" s="317">
        <v>0</v>
      </c>
      <c r="J251" s="317">
        <v>0</v>
      </c>
      <c r="K251" s="317">
        <v>0</v>
      </c>
      <c r="Q251" s="173"/>
      <c r="R251" s="427" t="s">
        <v>106</v>
      </c>
      <c r="S251" s="50" t="s">
        <v>1</v>
      </c>
      <c r="T251" s="51" t="s">
        <v>2</v>
      </c>
      <c r="U251" s="51" t="s">
        <v>3</v>
      </c>
      <c r="V251" s="51" t="s">
        <v>39</v>
      </c>
      <c r="W251" s="51" t="s">
        <v>45</v>
      </c>
      <c r="X251" s="51" t="s">
        <v>185</v>
      </c>
      <c r="Y251" s="51" t="s">
        <v>186</v>
      </c>
      <c r="Z251" s="51" t="s">
        <v>187</v>
      </c>
      <c r="AA251" s="51" t="s">
        <v>188</v>
      </c>
      <c r="AB251" s="51" t="s">
        <v>189</v>
      </c>
    </row>
    <row r="252" spans="1:28" x14ac:dyDescent="0.35">
      <c r="A252" s="171" t="s">
        <v>59</v>
      </c>
      <c r="B252" s="317">
        <v>0</v>
      </c>
      <c r="C252" s="317">
        <v>0</v>
      </c>
      <c r="D252" s="317">
        <v>0</v>
      </c>
      <c r="E252" s="317">
        <v>0</v>
      </c>
      <c r="F252" s="317">
        <v>0</v>
      </c>
      <c r="G252" s="317">
        <v>0</v>
      </c>
      <c r="H252" s="317">
        <v>0</v>
      </c>
      <c r="I252" s="317">
        <v>0</v>
      </c>
      <c r="J252" s="317">
        <v>0</v>
      </c>
      <c r="K252" s="317">
        <v>0</v>
      </c>
      <c r="Q252" s="173"/>
      <c r="R252" s="119" t="str">
        <f t="shared" ref="R252:R260" si="431">+R90</f>
        <v>Stipend (Fall)</v>
      </c>
      <c r="S252" s="120">
        <f t="shared" ref="S252:AB252" si="432">IF(RIGHT($R252,8)="(Summer)",ROUND(S236*HLOOKUP(S248,CoPI_2_GRARateTbl,3,FALSE),0))+IF(RIGHT($R252,8)&lt;&gt;"(Summer)",ROUND(S236*HLOOKUP(S248,CoPI_2_GRARateTbl,2,FALSE)/2,0))</f>
        <v>0</v>
      </c>
      <c r="T252" s="120">
        <f t="shared" si="432"/>
        <v>0</v>
      </c>
      <c r="U252" s="120">
        <f t="shared" si="432"/>
        <v>0</v>
      </c>
      <c r="V252" s="120">
        <f t="shared" si="432"/>
        <v>0</v>
      </c>
      <c r="W252" s="120">
        <f t="shared" si="432"/>
        <v>0</v>
      </c>
      <c r="X252" s="120">
        <f t="shared" si="432"/>
        <v>0</v>
      </c>
      <c r="Y252" s="120">
        <f t="shared" si="432"/>
        <v>0</v>
      </c>
      <c r="Z252" s="120">
        <f t="shared" si="432"/>
        <v>0</v>
      </c>
      <c r="AA252" s="120">
        <f t="shared" si="432"/>
        <v>0</v>
      </c>
      <c r="AB252" s="120">
        <f t="shared" si="432"/>
        <v>0</v>
      </c>
    </row>
    <row r="253" spans="1:28" x14ac:dyDescent="0.35">
      <c r="A253" s="171" t="s">
        <v>67</v>
      </c>
      <c r="B253" s="54">
        <f>ROUND(B247*(B251*B252),0)</f>
        <v>0</v>
      </c>
      <c r="C253" s="54">
        <f>ROUND(C247*(C251*C252),0)</f>
        <v>0</v>
      </c>
      <c r="D253" s="54">
        <f>ROUND(D247*(D251*D252),0)</f>
        <v>0</v>
      </c>
      <c r="E253" s="54">
        <f>ROUND(E247*(E251*E252),0)</f>
        <v>0</v>
      </c>
      <c r="F253" s="54">
        <f>ROUND(F247*(F251*F252),0)</f>
        <v>0</v>
      </c>
      <c r="G253" s="54">
        <f t="shared" ref="G253:K253" si="433">ROUND(G247*(G251*G252),0)</f>
        <v>0</v>
      </c>
      <c r="H253" s="54">
        <f t="shared" si="433"/>
        <v>0</v>
      </c>
      <c r="I253" s="54">
        <f t="shared" si="433"/>
        <v>0</v>
      </c>
      <c r="J253" s="54">
        <f t="shared" si="433"/>
        <v>0</v>
      </c>
      <c r="K253" s="54">
        <f t="shared" si="433"/>
        <v>0</v>
      </c>
      <c r="Q253" s="173"/>
      <c r="R253" s="121" t="str">
        <f t="shared" si="431"/>
        <v>Stipend (Spring)</v>
      </c>
      <c r="S253" s="120">
        <f t="shared" ref="S253:AB253" si="434">IF(RIGHT($R253,8)="(Summer)",ROUND(S237*HLOOKUP(S249,CoPI_2_GRARateTbl,3,FALSE),0))+IF(RIGHT($R253,8)&lt;&gt;"(Summer)",ROUND(S237*HLOOKUP(S249,CoPI_2_GRARateTbl,2,FALSE)/2,0))</f>
        <v>0</v>
      </c>
      <c r="T253" s="120">
        <f t="shared" si="434"/>
        <v>0</v>
      </c>
      <c r="U253" s="120">
        <f t="shared" si="434"/>
        <v>0</v>
      </c>
      <c r="V253" s="120">
        <f t="shared" si="434"/>
        <v>0</v>
      </c>
      <c r="W253" s="120">
        <f t="shared" si="434"/>
        <v>0</v>
      </c>
      <c r="X253" s="120">
        <f t="shared" si="434"/>
        <v>0</v>
      </c>
      <c r="Y253" s="120">
        <f t="shared" si="434"/>
        <v>0</v>
      </c>
      <c r="Z253" s="120">
        <f t="shared" si="434"/>
        <v>0</v>
      </c>
      <c r="AA253" s="120">
        <f t="shared" si="434"/>
        <v>0</v>
      </c>
      <c r="AB253" s="120">
        <f t="shared" si="434"/>
        <v>0</v>
      </c>
    </row>
    <row r="254" spans="1:28" x14ac:dyDescent="0.35">
      <c r="A254" s="171" t="s">
        <v>21</v>
      </c>
      <c r="B254" s="110">
        <f>+B250+B253</f>
        <v>0</v>
      </c>
      <c r="C254" s="110">
        <f>+C250+C253</f>
        <v>0</v>
      </c>
      <c r="D254" s="110">
        <f>+D250+D253</f>
        <v>0</v>
      </c>
      <c r="E254" s="110">
        <f>+E250+E253</f>
        <v>0</v>
      </c>
      <c r="F254" s="110">
        <f>+F250+F253</f>
        <v>0</v>
      </c>
      <c r="G254" s="110">
        <f t="shared" ref="G254:K254" si="435">+G250+G253</f>
        <v>0</v>
      </c>
      <c r="H254" s="110">
        <f t="shared" si="435"/>
        <v>0</v>
      </c>
      <c r="I254" s="110">
        <f t="shared" si="435"/>
        <v>0</v>
      </c>
      <c r="J254" s="110">
        <f t="shared" si="435"/>
        <v>0</v>
      </c>
      <c r="K254" s="110">
        <f t="shared" si="435"/>
        <v>0</v>
      </c>
      <c r="Q254" s="173"/>
      <c r="R254" s="121" t="str">
        <f t="shared" si="431"/>
        <v>Stipend (Summer)</v>
      </c>
      <c r="S254" s="120">
        <f t="shared" ref="S254:AB254" si="436">IF(RIGHT($R254,8)="(Summer)",ROUND(S238*HLOOKUP(S250,CoPI_2_GRARateTbl,3,FALSE),0))+IF(RIGHT($R254,8)&lt;&gt;"(Summer)",ROUND(S238*HLOOKUP(S250,CoPI_2_GRARateTbl,2,FALSE)/2,0))</f>
        <v>0</v>
      </c>
      <c r="T254" s="120">
        <f t="shared" si="436"/>
        <v>0</v>
      </c>
      <c r="U254" s="120">
        <f t="shared" si="436"/>
        <v>0</v>
      </c>
      <c r="V254" s="120">
        <f t="shared" si="436"/>
        <v>0</v>
      </c>
      <c r="W254" s="120">
        <f t="shared" si="436"/>
        <v>0</v>
      </c>
      <c r="X254" s="120">
        <f t="shared" si="436"/>
        <v>0</v>
      </c>
      <c r="Y254" s="120">
        <f t="shared" si="436"/>
        <v>0</v>
      </c>
      <c r="Z254" s="120">
        <f t="shared" si="436"/>
        <v>0</v>
      </c>
      <c r="AA254" s="120">
        <f t="shared" si="436"/>
        <v>0</v>
      </c>
      <c r="AB254" s="120">
        <f t="shared" si="436"/>
        <v>0</v>
      </c>
    </row>
    <row r="255" spans="1:28" x14ac:dyDescent="0.35">
      <c r="A255" s="173"/>
      <c r="I255" s="23"/>
      <c r="J255" s="23"/>
      <c r="K255" s="23"/>
      <c r="L255" s="23"/>
      <c r="M255" s="23"/>
      <c r="N255" s="23"/>
      <c r="Q255" s="173"/>
      <c r="R255" s="121" t="str">
        <f t="shared" si="431"/>
        <v>Tuition (Fall)</v>
      </c>
      <c r="S255" s="120">
        <f t="shared" ref="S255:AB255" si="437">IF(RIGHT($R255,8)="(Summer)",0,ROUND(S236*HLOOKUP(S248,CoPI_2_GRARateTbl,5,FALSE)/2,0))</f>
        <v>0</v>
      </c>
      <c r="T255" s="120">
        <f t="shared" si="437"/>
        <v>0</v>
      </c>
      <c r="U255" s="120">
        <f t="shared" si="437"/>
        <v>0</v>
      </c>
      <c r="V255" s="120">
        <f t="shared" si="437"/>
        <v>0</v>
      </c>
      <c r="W255" s="120">
        <f t="shared" si="437"/>
        <v>0</v>
      </c>
      <c r="X255" s="120">
        <f t="shared" si="437"/>
        <v>0</v>
      </c>
      <c r="Y255" s="120">
        <f t="shared" si="437"/>
        <v>0</v>
      </c>
      <c r="Z255" s="120">
        <f t="shared" si="437"/>
        <v>0</v>
      </c>
      <c r="AA255" s="120">
        <f t="shared" si="437"/>
        <v>0</v>
      </c>
      <c r="AB255" s="120">
        <f t="shared" si="437"/>
        <v>0</v>
      </c>
    </row>
    <row r="256" spans="1:28" x14ac:dyDescent="0.35">
      <c r="A256" s="174" t="s">
        <v>88</v>
      </c>
      <c r="B256" s="104" t="str">
        <f t="shared" ref="B256:L256" si="438">IF(AND(B257=$AE$5,$O258=9),$AE$3,IF(AND(B257=$AF$5,$O258=9),$AF$3,IF(AND(B257=$AG$5,$O258=9),$AG$3,IF(AND(B257=$AH$5,$O258=9),$AH$3,IF(AND(B257=$AI$5,$O258=9),$AI$3,IF(AND(B257=$AJ$5,$O258=9),$AJ$3,IF(AND(B257=$AK$5,$O258=9),$AK$3,IF(AND(B257=$AL$5,$O258=9),$AL$3,IF(AND(B257=$AM$5,$O258=9),$AM$3,IF(AND(B257=$AN$5,$O258=9),$AN$3,IF(AND(B257=$AO$5,$O258=9),$AO$3,IF(AND(B257=$AP$5,$O258=9),$AJ$3,IF(AND(B257=$AE$4,$O258=12),$AE$3,IF(AND(B257=$AF$4,$O258=12),$AF$3,IF(AND(B257=$AG$4,$O258=12),$AG$3,IF(AND(B257=$AH$4,$O258=12),$AH$3,IF(AND(B257=$AI$4,$O258=12),$AI$3,IF(AND(B257=$AJ$4,$O258=12),$AJ$3,IF(AND(B257=$AK$4,$O258=12),$AK$3,IF(AND(B257=$AL$4,$O258=12),$AL$3,IF(AND(B257=$AM$4,$O258=12),$AM$3,IF(AND(B257=$AN$4,$O258=12),$AN$3,IF(AND(B257=$AO$4,$O258=12),$AO$3,IF(AND(B257=$AP$4,$O258=12),$AJ$3," "))))))))))))))))))))))))</f>
        <v xml:space="preserve"> </v>
      </c>
      <c r="C256" s="104" t="str">
        <f t="shared" si="438"/>
        <v>Year 1</v>
      </c>
      <c r="D256" s="104" t="str">
        <f t="shared" si="438"/>
        <v>Year 2</v>
      </c>
      <c r="E256" s="104" t="str">
        <f t="shared" si="438"/>
        <v>Year 3</v>
      </c>
      <c r="F256" s="104" t="str">
        <f t="shared" si="438"/>
        <v>Year 4</v>
      </c>
      <c r="G256" s="104" t="str">
        <f t="shared" si="438"/>
        <v>Year 5</v>
      </c>
      <c r="H256" s="104" t="str">
        <f t="shared" si="438"/>
        <v>Year 6</v>
      </c>
      <c r="I256" s="104" t="str">
        <f t="shared" si="438"/>
        <v>Year 7</v>
      </c>
      <c r="J256" s="104" t="str">
        <f t="shared" si="438"/>
        <v>Year 8</v>
      </c>
      <c r="K256" s="104" t="str">
        <f t="shared" si="438"/>
        <v>Year 9</v>
      </c>
      <c r="L256" s="104" t="str">
        <f t="shared" si="438"/>
        <v>Year 10</v>
      </c>
      <c r="M256" s="104" t="str">
        <f t="shared" ref="M256" si="439">IF(AND(M257=$AE$5,$O258=9),$AE$3,IF(AND(M257=$AF$5,$O258=9),$AF$3,IF(AND(M257=$AG$5,$O258=9),$AG$3,IF(AND(M257=$AH$5,$O258=9),$AH$3,IF(AND(M257=$AI$5,$O258=9),$AI$3,IF(AND(M257=$AJ$5,$O258=9),$AJ$3,IF(AND(M257=$AK$5,$O258=9),$AK$3,IF(AND(M257=$AL$5,$O258=9),$AL$3,IF(AND(M257=$AM$5,$O258=9),$AM$3,IF(AND(M257=$AN$5,$O258=9),$AN$3,IF(AND(M257=$AO$5,$O258=9),$AO$3,IF(AND(M257=$AP$5,$O258=9),$AJ$3,IF(AND(M257=$AE$4,$O258=12),$AE$3,IF(AND(M257=$AF$4,$O258=12),$AF$3,IF(AND(M257=$AG$4,$O258=12),$AG$3,IF(AND(M257=$AH$4,$O258=12),$AH$3,IF(AND(M257=$AI$4,$O258=12),$AI$3,IF(AND(M257=$AJ$4,$O258=12),$AJ$3,IF(AND(M257=$AK$4,$O258=12),$AK$3,IF(AND(M257=$AL$4,$O258=12),$AL$3,IF(AND(M257=$AM$4,$O258=12),$AM$3,IF(AND(M257=$AN$4,$O258=12),$AN$3,IF(AND(M257=$AO$4,$O258=12),$AO$3,IF(AND(M257=$AP$4,$O258=12),$AJ$3," "))))))))))))))))))))))))</f>
        <v>Year 11</v>
      </c>
      <c r="N256" s="104"/>
      <c r="Q256" s="173"/>
      <c r="R256" s="121" t="str">
        <f t="shared" si="431"/>
        <v>Tuition (Spring)</v>
      </c>
      <c r="S256" s="120">
        <f t="shared" ref="S256:AB256" si="440">IF(RIGHT($R256,8)="(Summer)",0,ROUND(S237*HLOOKUP(S249,CoPI_2_GRARateTbl,5,FALSE)/2,0))</f>
        <v>0</v>
      </c>
      <c r="T256" s="120">
        <f t="shared" si="440"/>
        <v>0</v>
      </c>
      <c r="U256" s="120">
        <f t="shared" si="440"/>
        <v>0</v>
      </c>
      <c r="V256" s="120">
        <f t="shared" si="440"/>
        <v>0</v>
      </c>
      <c r="W256" s="120">
        <f t="shared" si="440"/>
        <v>0</v>
      </c>
      <c r="X256" s="120">
        <f t="shared" si="440"/>
        <v>0</v>
      </c>
      <c r="Y256" s="120">
        <f t="shared" si="440"/>
        <v>0</v>
      </c>
      <c r="Z256" s="120">
        <f t="shared" si="440"/>
        <v>0</v>
      </c>
      <c r="AA256" s="120">
        <f t="shared" si="440"/>
        <v>0</v>
      </c>
      <c r="AB256" s="120">
        <f t="shared" si="440"/>
        <v>0</v>
      </c>
    </row>
    <row r="257" spans="1:28" x14ac:dyDescent="0.35">
      <c r="A257" s="329" t="s">
        <v>29</v>
      </c>
      <c r="B257" s="55" t="str">
        <f t="shared" ref="B257:I257" si="441">+N$2</f>
        <v>FY2023</v>
      </c>
      <c r="C257" s="55" t="str">
        <f t="shared" si="441"/>
        <v>FY2024</v>
      </c>
      <c r="D257" s="55" t="str">
        <f t="shared" si="441"/>
        <v>FY2025</v>
      </c>
      <c r="E257" s="55" t="str">
        <f t="shared" si="441"/>
        <v>FY2026</v>
      </c>
      <c r="F257" s="55" t="str">
        <f t="shared" si="441"/>
        <v>FY2027</v>
      </c>
      <c r="G257" s="55" t="str">
        <f t="shared" si="441"/>
        <v>FY2028</v>
      </c>
      <c r="H257" s="55" t="str">
        <f t="shared" si="441"/>
        <v>FY2029</v>
      </c>
      <c r="I257" s="55" t="str">
        <f t="shared" si="441"/>
        <v>FY2030</v>
      </c>
      <c r="J257" s="55" t="str">
        <f t="shared" ref="J257" si="442">+V$2</f>
        <v>FY2031</v>
      </c>
      <c r="K257" s="55" t="str">
        <f t="shared" ref="K257:M257" si="443">+W$2</f>
        <v>FY2032</v>
      </c>
      <c r="L257" s="55" t="str">
        <f t="shared" si="443"/>
        <v>FY2033</v>
      </c>
      <c r="M257" s="55" t="str">
        <f t="shared" si="443"/>
        <v>FY2034</v>
      </c>
      <c r="N257" s="55"/>
      <c r="O257" s="32" t="s">
        <v>20</v>
      </c>
      <c r="P257" s="89" t="s">
        <v>64</v>
      </c>
      <c r="Q257" s="185"/>
      <c r="R257" s="121" t="str">
        <f t="shared" si="431"/>
        <v>Tuition (Summer)</v>
      </c>
      <c r="S257" s="120">
        <f t="shared" ref="S257:AB257" si="444">IF(RIGHT($R257,8)="(Summer)",0,ROUND(S238*HLOOKUP(S250,CoPI_2_GRARateTbl,5,FALSE)/2,0))</f>
        <v>0</v>
      </c>
      <c r="T257" s="120">
        <f t="shared" si="444"/>
        <v>0</v>
      </c>
      <c r="U257" s="120">
        <f t="shared" si="444"/>
        <v>0</v>
      </c>
      <c r="V257" s="120">
        <f t="shared" si="444"/>
        <v>0</v>
      </c>
      <c r="W257" s="120">
        <f t="shared" si="444"/>
        <v>0</v>
      </c>
      <c r="X257" s="120">
        <f t="shared" si="444"/>
        <v>0</v>
      </c>
      <c r="Y257" s="120">
        <f t="shared" si="444"/>
        <v>0</v>
      </c>
      <c r="Z257" s="120">
        <f t="shared" si="444"/>
        <v>0</v>
      </c>
      <c r="AA257" s="120">
        <f t="shared" si="444"/>
        <v>0</v>
      </c>
      <c r="AB257" s="120">
        <f t="shared" si="444"/>
        <v>0</v>
      </c>
    </row>
    <row r="258" spans="1:28" x14ac:dyDescent="0.35">
      <c r="A258" s="171" t="str">
        <f>CONCATENATE("Base Salary: ",O258," month term")</f>
        <v>Base Salary: 12 month term</v>
      </c>
      <c r="B258" s="314">
        <v>0</v>
      </c>
      <c r="C258" s="109">
        <f>B258</f>
        <v>0</v>
      </c>
      <c r="D258" s="109">
        <f t="shared" ref="D258:M258" si="445">ROUND(+C258*(1+$P$258),0)</f>
        <v>0</v>
      </c>
      <c r="E258" s="109">
        <f t="shared" si="445"/>
        <v>0</v>
      </c>
      <c r="F258" s="109">
        <f t="shared" si="445"/>
        <v>0</v>
      </c>
      <c r="G258" s="109">
        <f t="shared" si="445"/>
        <v>0</v>
      </c>
      <c r="H258" s="109">
        <f t="shared" si="445"/>
        <v>0</v>
      </c>
      <c r="I258" s="109">
        <f t="shared" si="445"/>
        <v>0</v>
      </c>
      <c r="J258" s="109">
        <f t="shared" si="445"/>
        <v>0</v>
      </c>
      <c r="K258" s="109">
        <f t="shared" si="445"/>
        <v>0</v>
      </c>
      <c r="L258" s="109">
        <f t="shared" si="445"/>
        <v>0</v>
      </c>
      <c r="M258" s="109">
        <f t="shared" si="445"/>
        <v>0</v>
      </c>
      <c r="N258" s="109"/>
      <c r="O258" s="311">
        <v>12</v>
      </c>
      <c r="P258" s="312">
        <v>0.03</v>
      </c>
      <c r="Q258" s="187"/>
      <c r="R258" s="121" t="str">
        <f t="shared" si="431"/>
        <v>Health Insurance (Fall)</v>
      </c>
      <c r="S258" s="120">
        <f t="shared" ref="S258:AB258" si="446">IF(RIGHT($R258,8)="(Summer)",0,ROUND(S236*HLOOKUP(S248,CoPI_2_GRARateTbl,6,FALSE)/2,0))</f>
        <v>0</v>
      </c>
      <c r="T258" s="120">
        <f t="shared" si="446"/>
        <v>0</v>
      </c>
      <c r="U258" s="120">
        <f t="shared" si="446"/>
        <v>0</v>
      </c>
      <c r="V258" s="120">
        <f t="shared" si="446"/>
        <v>0</v>
      </c>
      <c r="W258" s="120">
        <f t="shared" si="446"/>
        <v>0</v>
      </c>
      <c r="X258" s="120">
        <f t="shared" si="446"/>
        <v>0</v>
      </c>
      <c r="Y258" s="120">
        <f t="shared" si="446"/>
        <v>0</v>
      </c>
      <c r="Z258" s="120">
        <f t="shared" si="446"/>
        <v>0</v>
      </c>
      <c r="AA258" s="120">
        <f t="shared" si="446"/>
        <v>0</v>
      </c>
      <c r="AB258" s="120">
        <f t="shared" si="446"/>
        <v>0</v>
      </c>
    </row>
    <row r="259" spans="1:28" x14ac:dyDescent="0.35">
      <c r="A259" s="171" t="s">
        <v>44</v>
      </c>
      <c r="B259" s="313">
        <v>0</v>
      </c>
      <c r="C259" s="313">
        <v>0</v>
      </c>
      <c r="D259" s="313">
        <v>0</v>
      </c>
      <c r="E259" s="313">
        <v>0</v>
      </c>
      <c r="F259" s="313">
        <v>0</v>
      </c>
      <c r="G259" s="313">
        <v>0</v>
      </c>
      <c r="H259" s="313">
        <v>0</v>
      </c>
      <c r="I259" s="313">
        <v>0</v>
      </c>
      <c r="J259" s="313">
        <v>0</v>
      </c>
      <c r="K259" s="313">
        <v>0</v>
      </c>
      <c r="L259" s="313">
        <v>0</v>
      </c>
      <c r="M259" s="313">
        <v>0</v>
      </c>
      <c r="N259" s="402"/>
      <c r="O259" s="25"/>
      <c r="P259" s="25"/>
      <c r="Q259" s="171"/>
      <c r="R259" s="121" t="str">
        <f t="shared" si="431"/>
        <v>Health Insurance (Spring)</v>
      </c>
      <c r="S259" s="120">
        <f t="shared" ref="S259:AB259" si="447">IF(RIGHT($R259,8)="(Summer)",0,ROUND(S237*HLOOKUP(S249,CoPI_2_GRARateTbl,6,FALSE)/2,0))</f>
        <v>0</v>
      </c>
      <c r="T259" s="120">
        <f t="shared" si="447"/>
        <v>0</v>
      </c>
      <c r="U259" s="120">
        <f t="shared" si="447"/>
        <v>0</v>
      </c>
      <c r="V259" s="120">
        <f t="shared" si="447"/>
        <v>0</v>
      </c>
      <c r="W259" s="120">
        <f t="shared" si="447"/>
        <v>0</v>
      </c>
      <c r="X259" s="120">
        <f t="shared" si="447"/>
        <v>0</v>
      </c>
      <c r="Y259" s="120">
        <f t="shared" si="447"/>
        <v>0</v>
      </c>
      <c r="Z259" s="120">
        <f t="shared" si="447"/>
        <v>0</v>
      </c>
      <c r="AA259" s="120">
        <f t="shared" si="447"/>
        <v>0</v>
      </c>
      <c r="AB259" s="120">
        <f t="shared" si="447"/>
        <v>0</v>
      </c>
    </row>
    <row r="260" spans="1:28" x14ac:dyDescent="0.35">
      <c r="A260" s="171" t="str">
        <f>CONCATENATE("FTE for ",O258," Months")</f>
        <v>FTE for 12 Months</v>
      </c>
      <c r="B260" s="395">
        <f t="shared" ref="B260:L260" si="448">+B259/$O258</f>
        <v>0</v>
      </c>
      <c r="C260" s="395">
        <f t="shared" si="448"/>
        <v>0</v>
      </c>
      <c r="D260" s="395">
        <f t="shared" si="448"/>
        <v>0</v>
      </c>
      <c r="E260" s="395">
        <f t="shared" si="448"/>
        <v>0</v>
      </c>
      <c r="F260" s="395">
        <f t="shared" si="448"/>
        <v>0</v>
      </c>
      <c r="G260" s="395">
        <f t="shared" si="448"/>
        <v>0</v>
      </c>
      <c r="H260" s="395">
        <f t="shared" si="448"/>
        <v>0</v>
      </c>
      <c r="I260" s="395">
        <f t="shared" si="448"/>
        <v>0</v>
      </c>
      <c r="J260" s="395">
        <f t="shared" si="448"/>
        <v>0</v>
      </c>
      <c r="K260" s="395">
        <f t="shared" si="448"/>
        <v>0</v>
      </c>
      <c r="L260" s="395">
        <f t="shared" si="448"/>
        <v>0</v>
      </c>
      <c r="M260" s="395">
        <f t="shared" ref="M260" si="449">+M259/$O258</f>
        <v>0</v>
      </c>
      <c r="N260" s="403"/>
      <c r="O260" s="89"/>
      <c r="P260" s="89"/>
      <c r="Q260" s="185"/>
      <c r="R260" s="121" t="str">
        <f t="shared" si="431"/>
        <v>Health Insurance (Summer)</v>
      </c>
      <c r="S260" s="120">
        <f t="shared" ref="S260:AB260" si="450">IF(RIGHT($R260,8)="(Summer)",0,ROUND(S238*HLOOKUP(S250,CoPI_2_GRARateTbl,6,FALSE)/2,0))</f>
        <v>0</v>
      </c>
      <c r="T260" s="120">
        <f t="shared" si="450"/>
        <v>0</v>
      </c>
      <c r="U260" s="120">
        <f t="shared" si="450"/>
        <v>0</v>
      </c>
      <c r="V260" s="120">
        <f t="shared" si="450"/>
        <v>0</v>
      </c>
      <c r="W260" s="120">
        <f t="shared" si="450"/>
        <v>0</v>
      </c>
      <c r="X260" s="120">
        <f t="shared" si="450"/>
        <v>0</v>
      </c>
      <c r="Y260" s="120">
        <f t="shared" si="450"/>
        <v>0</v>
      </c>
      <c r="Z260" s="120">
        <f t="shared" si="450"/>
        <v>0</v>
      </c>
      <c r="AA260" s="120">
        <f t="shared" si="450"/>
        <v>0</v>
      </c>
      <c r="AB260" s="120">
        <f t="shared" si="450"/>
        <v>0</v>
      </c>
    </row>
    <row r="261" spans="1:28" ht="15" thickBot="1" x14ac:dyDescent="0.4">
      <c r="A261" s="171" t="s">
        <v>21</v>
      </c>
      <c r="B261" s="110">
        <f t="shared" ref="B261:K261" si="451">ROUND((B258*B260*$Q$35)+(C258*B260*$Q$36),0)</f>
        <v>0</v>
      </c>
      <c r="C261" s="110">
        <f t="shared" si="451"/>
        <v>0</v>
      </c>
      <c r="D261" s="110">
        <f t="shared" si="451"/>
        <v>0</v>
      </c>
      <c r="E261" s="110">
        <f t="shared" si="451"/>
        <v>0</v>
      </c>
      <c r="F261" s="110">
        <f t="shared" si="451"/>
        <v>0</v>
      </c>
      <c r="G261" s="110">
        <f t="shared" si="451"/>
        <v>0</v>
      </c>
      <c r="H261" s="110">
        <f t="shared" si="451"/>
        <v>0</v>
      </c>
      <c r="I261" s="110">
        <f t="shared" si="451"/>
        <v>0</v>
      </c>
      <c r="J261" s="110">
        <f t="shared" si="451"/>
        <v>0</v>
      </c>
      <c r="K261" s="110">
        <f t="shared" si="451"/>
        <v>0</v>
      </c>
      <c r="L261" s="110">
        <f>ROUND((L258*L260*$Q$35)+(N258*L260*$Q$36),0)</f>
        <v>0</v>
      </c>
      <c r="M261" s="110">
        <f>ROUND((M258*M260*$Q$35)+(O258*M260*$Q$36),0)</f>
        <v>0</v>
      </c>
      <c r="N261" s="404"/>
      <c r="O261" s="89"/>
      <c r="P261" s="89"/>
      <c r="Q261" s="185"/>
      <c r="R261" s="38" t="s">
        <v>31</v>
      </c>
      <c r="S261" s="39">
        <f>SUM(S252:S260)</f>
        <v>0</v>
      </c>
      <c r="T261" s="39">
        <f>SUM(T252:T260)</f>
        <v>0</v>
      </c>
      <c r="U261" s="39">
        <f>SUM(U252:U260)</f>
        <v>0</v>
      </c>
      <c r="V261" s="39">
        <f>SUM(V252:V260)</f>
        <v>0</v>
      </c>
      <c r="W261" s="39">
        <f t="shared" ref="W261" si="452">SUM(W252:W260)</f>
        <v>0</v>
      </c>
      <c r="X261" s="39">
        <f t="shared" ref="X261" si="453">SUM(X252:X260)</f>
        <v>0</v>
      </c>
      <c r="Y261" s="39">
        <f t="shared" ref="Y261" si="454">SUM(Y252:Y260)</f>
        <v>0</v>
      </c>
      <c r="Z261" s="39">
        <f t="shared" ref="Z261" si="455">SUM(Z252:Z260)</f>
        <v>0</v>
      </c>
      <c r="AA261" s="39">
        <f t="shared" ref="AA261" si="456">SUM(AA252:AA260)</f>
        <v>0</v>
      </c>
      <c r="AB261" s="39">
        <f t="shared" ref="AB261" si="457">SUM(AB252:AB260)</f>
        <v>0</v>
      </c>
    </row>
    <row r="264" spans="1:28" x14ac:dyDescent="0.35">
      <c r="A264" s="194" t="str">
        <f ca="1">+A17</f>
        <v>Co-PI Budget (3)</v>
      </c>
      <c r="B264" s="195"/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  <c r="O264" s="195"/>
    </row>
    <row r="265" spans="1:28" x14ac:dyDescent="0.35">
      <c r="A265" s="137" t="s">
        <v>50</v>
      </c>
      <c r="B265" s="210" t="str">
        <f>+B17</f>
        <v>Co-PI</v>
      </c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  <c r="O265" s="195"/>
    </row>
    <row r="266" spans="1:28" x14ac:dyDescent="0.35">
      <c r="A266" s="137" t="s">
        <v>53</v>
      </c>
      <c r="B266" s="330" t="s">
        <v>57</v>
      </c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</row>
    <row r="267" spans="1:28" x14ac:dyDescent="0.35">
      <c r="A267" s="137" t="s">
        <v>53</v>
      </c>
      <c r="B267" s="330" t="s">
        <v>57</v>
      </c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5"/>
    </row>
    <row r="268" spans="1:28" x14ac:dyDescent="0.35">
      <c r="A268" s="137" t="s">
        <v>113</v>
      </c>
      <c r="B268" s="331" t="s">
        <v>95</v>
      </c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  <c r="O268" s="195"/>
    </row>
    <row r="269" spans="1:28" x14ac:dyDescent="0.35">
      <c r="A269" s="137" t="s">
        <v>134</v>
      </c>
      <c r="B269" s="331" t="str">
        <f>+$B$26</f>
        <v>On</v>
      </c>
      <c r="C269" s="195"/>
      <c r="D269" s="195"/>
      <c r="E269" s="195"/>
      <c r="F269" s="195"/>
      <c r="G269" s="195"/>
      <c r="H269" s="195"/>
      <c r="I269" s="195"/>
      <c r="J269" s="195"/>
      <c r="K269" s="195"/>
      <c r="L269" s="195"/>
      <c r="M269" s="195"/>
      <c r="N269" s="195"/>
      <c r="O269" s="195"/>
    </row>
    <row r="270" spans="1:28" x14ac:dyDescent="0.35">
      <c r="A270" s="195"/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</row>
    <row r="271" spans="1:28" x14ac:dyDescent="0.35">
      <c r="A271" s="137" t="s">
        <v>97</v>
      </c>
      <c r="B271" s="332" t="s">
        <v>95</v>
      </c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</row>
    <row r="272" spans="1:28" x14ac:dyDescent="0.35">
      <c r="A272" s="137" t="s">
        <v>98</v>
      </c>
      <c r="B272" s="332" t="s">
        <v>95</v>
      </c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5"/>
    </row>
    <row r="273" spans="1:17" x14ac:dyDescent="0.35">
      <c r="A273" s="195"/>
      <c r="B273" s="196"/>
      <c r="C273" s="195"/>
      <c r="D273" s="195"/>
      <c r="E273" s="195"/>
      <c r="F273" s="195"/>
      <c r="G273" s="195"/>
      <c r="H273" s="195"/>
      <c r="I273" s="197"/>
      <c r="J273" s="197"/>
      <c r="K273" s="197"/>
      <c r="L273" s="197"/>
      <c r="M273" s="197"/>
      <c r="N273" s="197"/>
      <c r="O273" s="197"/>
      <c r="Q273" s="102"/>
    </row>
    <row r="274" spans="1:17" x14ac:dyDescent="0.35">
      <c r="A274" s="137" t="s">
        <v>100</v>
      </c>
      <c r="B274" s="198" t="str">
        <f>+$B$31</f>
        <v>FY2024</v>
      </c>
      <c r="C274" s="198" t="str">
        <f>+$C$31</f>
        <v>FY2025</v>
      </c>
      <c r="D274" s="198" t="str">
        <f>+$D$31</f>
        <v>FY2026</v>
      </c>
      <c r="E274" s="198" t="str">
        <f>+$E$31</f>
        <v>FY2027</v>
      </c>
      <c r="F274" s="198" t="str">
        <f>+$F$31</f>
        <v>FY2028</v>
      </c>
      <c r="G274" s="198" t="str">
        <f>+$G$31</f>
        <v>FY2029</v>
      </c>
      <c r="H274" s="198" t="str">
        <f>+$H$31</f>
        <v>FY2030</v>
      </c>
      <c r="I274" s="198" t="str">
        <f>CONCATENATE("FY",$AD$3+7)</f>
        <v>FY2031</v>
      </c>
      <c r="J274" s="198" t="str">
        <f>CONCATENATE("FY",$AD$3+8)</f>
        <v>FY2032</v>
      </c>
      <c r="K274" s="198" t="str">
        <f>CONCATENATE("FY",$AD$3+9)</f>
        <v>FY2033</v>
      </c>
      <c r="L274" s="198" t="str">
        <f>CONCATENATE("FY",$AD$3+10)</f>
        <v>FY2034</v>
      </c>
      <c r="M274" s="198" t="str">
        <f>CONCATENATE("FY",$AD$3+11)</f>
        <v>FY2035</v>
      </c>
      <c r="N274" s="197"/>
      <c r="O274" s="197"/>
      <c r="Q274" s="102"/>
    </row>
    <row r="275" spans="1:17" x14ac:dyDescent="0.35">
      <c r="A275" s="137" t="str">
        <f>IF(AND(B268="Contract College",B$6="Federal"),"   Contract (Federal) - Senior Personnel",IF(AND(B268="Contract College",B$6="Non-federal"),"   Contract (Non-federal) - Senior Personnel","   Endowed - Senior Personnel"))</f>
        <v xml:space="preserve">   Endowed - Senior Personnel</v>
      </c>
      <c r="B275" s="399">
        <f t="shared" ref="B275:M275" si="458">IF(AND($B268="Contract College",$B$6="Federal"),HLOOKUP(B274,FringeAndIDCRates,2,FALSE),IF(AND($B268="Contract College",$B$6="Non-Federal"),HLOOKUP(B274,FringeAndIDCRates,3,FALSE),HLOOKUP(B274,FringeAndIDCRates,4,FALSE)))</f>
        <v>0.37</v>
      </c>
      <c r="C275" s="399">
        <f t="shared" si="458"/>
        <v>0.37</v>
      </c>
      <c r="D275" s="399">
        <f t="shared" si="458"/>
        <v>0.37</v>
      </c>
      <c r="E275" s="399">
        <f t="shared" si="458"/>
        <v>0.37</v>
      </c>
      <c r="F275" s="399">
        <f t="shared" si="458"/>
        <v>0.37</v>
      </c>
      <c r="G275" s="399">
        <f t="shared" si="458"/>
        <v>0.37</v>
      </c>
      <c r="H275" s="399">
        <f t="shared" si="458"/>
        <v>0.37</v>
      </c>
      <c r="I275" s="399">
        <f t="shared" si="458"/>
        <v>0.37</v>
      </c>
      <c r="J275" s="399">
        <f t="shared" si="458"/>
        <v>0.37</v>
      </c>
      <c r="K275" s="399">
        <f t="shared" si="458"/>
        <v>0.37</v>
      </c>
      <c r="L275" s="399">
        <f t="shared" si="458"/>
        <v>0.37</v>
      </c>
      <c r="M275" s="399">
        <f t="shared" si="458"/>
        <v>0.37</v>
      </c>
      <c r="N275" s="197"/>
      <c r="O275" s="197"/>
      <c r="Q275" s="102"/>
    </row>
    <row r="276" spans="1:17" x14ac:dyDescent="0.35">
      <c r="A276" s="137" t="str">
        <f>IF(AND(B$6="Federal",B271="Contract College"),"   Contract (Federal) - Post Doc",IF(AND(B$6="Non-federal",B271="Contract College"),"   Contract (Non-federal) - Post Doc","   Endowed - Post Doc"))</f>
        <v xml:space="preserve">   Endowed - Post Doc</v>
      </c>
      <c r="B276" s="399">
        <f t="shared" ref="B276:M276" si="459">IF($B271="Endowed College",HLOOKUP(B$31,FringeAndIDCRates,4,FALSE),IF($B$6="Federal",HLOOKUP(B$31,FringeAndIDCRates,2,FALSE),IF($B$6="Non-Federal",HLOOKUP(B$31,FringeAndIDCRates,3,FALSE))))</f>
        <v>0.37</v>
      </c>
      <c r="C276" s="399">
        <f t="shared" si="459"/>
        <v>0.37</v>
      </c>
      <c r="D276" s="399">
        <f t="shared" si="459"/>
        <v>0.37</v>
      </c>
      <c r="E276" s="399">
        <f t="shared" si="459"/>
        <v>0.37</v>
      </c>
      <c r="F276" s="399">
        <f t="shared" si="459"/>
        <v>0.37</v>
      </c>
      <c r="G276" s="399">
        <f t="shared" si="459"/>
        <v>0.37</v>
      </c>
      <c r="H276" s="399">
        <f t="shared" si="459"/>
        <v>0.37</v>
      </c>
      <c r="I276" s="399">
        <f t="shared" si="459"/>
        <v>0.37</v>
      </c>
      <c r="J276" s="399">
        <f t="shared" si="459"/>
        <v>0.37</v>
      </c>
      <c r="K276" s="399">
        <f t="shared" si="459"/>
        <v>0.37</v>
      </c>
      <c r="L276" s="399">
        <f t="shared" si="459"/>
        <v>0.37</v>
      </c>
      <c r="M276" s="399">
        <f t="shared" si="459"/>
        <v>0.37</v>
      </c>
      <c r="N276" s="197"/>
      <c r="O276" s="197"/>
      <c r="Q276" s="102"/>
    </row>
    <row r="277" spans="1:17" x14ac:dyDescent="0.35">
      <c r="A277" s="137" t="str">
        <f>IF(AND(B$6="Federal",B272="Contract College"),"   Contract (Federal) - Other Employee",IF(AND(B$6="Non-federal",B272="Contract College"),"   Contract (Non-federal) - Other Empolyee","   Endowed - Other Employee"))</f>
        <v xml:space="preserve">   Endowed - Other Employee</v>
      </c>
      <c r="B277" s="399">
        <f t="shared" ref="B277:M277" si="460">IF($B272="Endowed College",HLOOKUP(B$31,FringeAndIDCRates,4,FALSE),IF($B$6="Federal",HLOOKUP(B$31,FringeAndIDCRates,2,FALSE),IF($B$6="Non-Federal",HLOOKUP(B$31,FringeAndIDCRates,3,FALSE))))</f>
        <v>0.37</v>
      </c>
      <c r="C277" s="399">
        <f t="shared" si="460"/>
        <v>0.37</v>
      </c>
      <c r="D277" s="399">
        <f t="shared" si="460"/>
        <v>0.37</v>
      </c>
      <c r="E277" s="399">
        <f t="shared" si="460"/>
        <v>0.37</v>
      </c>
      <c r="F277" s="399">
        <f t="shared" si="460"/>
        <v>0.37</v>
      </c>
      <c r="G277" s="399">
        <f t="shared" si="460"/>
        <v>0.37</v>
      </c>
      <c r="H277" s="399">
        <f t="shared" si="460"/>
        <v>0.37</v>
      </c>
      <c r="I277" s="399">
        <f t="shared" si="460"/>
        <v>0.37</v>
      </c>
      <c r="J277" s="399">
        <f t="shared" si="460"/>
        <v>0.37</v>
      </c>
      <c r="K277" s="399">
        <f t="shared" si="460"/>
        <v>0.37</v>
      </c>
      <c r="L277" s="399">
        <f t="shared" si="460"/>
        <v>0.37</v>
      </c>
      <c r="M277" s="399">
        <f t="shared" si="460"/>
        <v>0.37</v>
      </c>
      <c r="N277" s="197"/>
      <c r="O277" s="197"/>
      <c r="Q277" s="102"/>
    </row>
    <row r="278" spans="1:17" x14ac:dyDescent="0.35">
      <c r="A278" s="137" t="str">
        <f>CONCATENATE("Cornell IDC Rate - ",B268)</f>
        <v>Cornell IDC Rate - Endowed College</v>
      </c>
      <c r="B278" s="399">
        <f t="shared" ref="B278:M278" si="461">IF($B269="Off",(HLOOKUP(B$31,FringeAndIDCRates,8,FALSE)),IF(AND($B$7="Other",$B269="On"),(HLOOKUP(B$31,FringeAndIDCRates,7,FALSE)),IF(AND($B269="On",$B268="Contract College",$B$7="Research"),(HLOOKUP(B$31,FringeAndIDCRates,5,FALSE)),(HLOOKUP(B$31,FringeAndIDCRates,6,FALSE)))))</f>
        <v>0.64</v>
      </c>
      <c r="C278" s="399">
        <f t="shared" si="461"/>
        <v>0.64</v>
      </c>
      <c r="D278" s="399">
        <f t="shared" si="461"/>
        <v>0.64</v>
      </c>
      <c r="E278" s="399">
        <f t="shared" si="461"/>
        <v>0.64</v>
      </c>
      <c r="F278" s="399">
        <f t="shared" si="461"/>
        <v>0.64</v>
      </c>
      <c r="G278" s="399">
        <f t="shared" si="461"/>
        <v>0.64</v>
      </c>
      <c r="H278" s="399">
        <f t="shared" si="461"/>
        <v>0.64</v>
      </c>
      <c r="I278" s="399">
        <f t="shared" si="461"/>
        <v>0.64</v>
      </c>
      <c r="J278" s="399">
        <f t="shared" si="461"/>
        <v>0.64</v>
      </c>
      <c r="K278" s="399">
        <f t="shared" si="461"/>
        <v>0.64</v>
      </c>
      <c r="L278" s="399">
        <f t="shared" si="461"/>
        <v>0.64</v>
      </c>
      <c r="M278" s="399">
        <f t="shared" si="461"/>
        <v>0.64</v>
      </c>
      <c r="N278" s="197"/>
      <c r="O278" s="197"/>
      <c r="Q278" s="102"/>
    </row>
    <row r="279" spans="1:17" x14ac:dyDescent="0.35">
      <c r="A279" s="137" t="str">
        <f>IF($B$8="Yes","","Rate Allowed by Sponsor:")</f>
        <v/>
      </c>
      <c r="B279" s="198" t="str">
        <f t="shared" ref="B279:M279" si="462">IF($B$8="Yes","",IF($B$8="No",HLOOKUP(B$31,FringeAndIDCRates,9,FALSE),(HLOOKUP(B$31,FringeAndIDCRates,9,FALSE))))</f>
        <v/>
      </c>
      <c r="C279" s="198" t="str">
        <f t="shared" si="462"/>
        <v/>
      </c>
      <c r="D279" s="198" t="str">
        <f t="shared" si="462"/>
        <v/>
      </c>
      <c r="E279" s="198" t="str">
        <f t="shared" si="462"/>
        <v/>
      </c>
      <c r="F279" s="198" t="str">
        <f t="shared" si="462"/>
        <v/>
      </c>
      <c r="G279" s="198" t="str">
        <f t="shared" si="462"/>
        <v/>
      </c>
      <c r="H279" s="198" t="str">
        <f t="shared" si="462"/>
        <v/>
      </c>
      <c r="I279" s="198" t="str">
        <f t="shared" si="462"/>
        <v/>
      </c>
      <c r="J279" s="198" t="str">
        <f t="shared" si="462"/>
        <v/>
      </c>
      <c r="K279" s="198" t="str">
        <f t="shared" si="462"/>
        <v/>
      </c>
      <c r="L279" s="198" t="str">
        <f t="shared" si="462"/>
        <v/>
      </c>
      <c r="M279" s="198" t="str">
        <f t="shared" si="462"/>
        <v/>
      </c>
      <c r="N279" s="239"/>
      <c r="O279" s="239"/>
      <c r="Q279" s="102"/>
    </row>
    <row r="280" spans="1:17" x14ac:dyDescent="0.35">
      <c r="B280" s="53"/>
      <c r="C280" s="53"/>
      <c r="D280" s="53"/>
      <c r="E280" s="53"/>
      <c r="F280" s="53"/>
      <c r="G280" s="53"/>
      <c r="H280" s="53"/>
    </row>
    <row r="281" spans="1:17" ht="20" x14ac:dyDescent="0.4">
      <c r="A281" s="40" t="s">
        <v>55</v>
      </c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</row>
    <row r="282" spans="1:17" ht="15.5" x14ac:dyDescent="0.35">
      <c r="A282" s="105" t="s">
        <v>87</v>
      </c>
      <c r="B282" s="106" t="str">
        <f>IF(B285=$AE$5,$AE$8,IF(B285=$AF$5,$AF$8,IF(B285=$AG$5,$AG$8,IF(B285=$AH$5,$AH$8,IF(B285=$AI$5,$AI$8,IF(B285=$AJ$5,$AJ$8,IF(B285=$AK$5,$AK$8,IF(B285=$AL$5,$AL$8,IF(B285=$AM$5,$AM$8,IF(B285=$AN$5,$AN$8,IF(B285=$AO$5,$AO$8,IF(B285=$AP$5,$AP$8," "))))))))))))</f>
        <v xml:space="preserve"> </v>
      </c>
      <c r="C282" s="106" t="str">
        <f t="shared" ref="C282:M282" si="463">IF(C285=$AE$5,$AE$8,IF(C285=$AF$5,$AF$8,IF(C285=$AG$5,$AG$8,IF(C285=$AH$5,$AH$8,IF(C285=$AI$5,$AI$8,IF(C285=$AJ$5,$AJ$8,IF(C285=$AK$5,$AK$8,IF(C285=$AL$5,$AL$8,IF(C285=$AM$5,$AM$8,IF(C285=$AN$5,$AN$8,IF(C285=$AO$5,$AO$8,IF(C285=$AP$5,$AP$8," "))))))))))))</f>
        <v>2023-2024</v>
      </c>
      <c r="D282" s="106" t="str">
        <f t="shared" si="463"/>
        <v>2024-2025</v>
      </c>
      <c r="E282" s="106" t="str">
        <f t="shared" si="463"/>
        <v>2025-2026</v>
      </c>
      <c r="F282" s="106" t="str">
        <f t="shared" si="463"/>
        <v>2026-2027</v>
      </c>
      <c r="G282" s="106" t="str">
        <f t="shared" si="463"/>
        <v>2027-2028</v>
      </c>
      <c r="H282" s="106" t="str">
        <f t="shared" si="463"/>
        <v>2028-2029</v>
      </c>
      <c r="I282" s="106" t="str">
        <f t="shared" si="463"/>
        <v>2029-2030</v>
      </c>
      <c r="J282" s="106" t="str">
        <f t="shared" si="463"/>
        <v>2030-2031</v>
      </c>
      <c r="K282" s="106" t="str">
        <f t="shared" si="463"/>
        <v>2031-2032</v>
      </c>
      <c r="L282" s="106" t="str">
        <f t="shared" si="463"/>
        <v>2032-2033</v>
      </c>
      <c r="M282" s="106" t="str">
        <f t="shared" si="463"/>
        <v>2033-2034</v>
      </c>
      <c r="N282" s="106" t="str">
        <f t="shared" ref="N282" si="464">IF(N285=$AE$5,$AE$8,IF(N285=$AF$5,$AF$8,IF(N285=$AG$5,$AG$8,IF(N285=$AH$5,$AH$8,IF(N285=$AI$5,$AI$8,IF(N285=$AJ$5,$AJ$8,IF(N285=$AK$5,$AK$8,IF(N285=$AL$5,$AL$8,IF(N285=$AM$5,$AM$8,IF(N285=$AN$5,$AN$8,IF(N285=$AO$5,$AO$8,IF(N285=$AP$5,$AP$8," "))))))))))))</f>
        <v>2034-2035</v>
      </c>
    </row>
    <row r="284" spans="1:17" x14ac:dyDescent="0.35">
      <c r="A284" s="199" t="str">
        <f>CONCATENATE("Calculation based on ",O286," month salary")</f>
        <v>Calculation based on 9 month salary</v>
      </c>
      <c r="B284" s="104" t="str">
        <f t="shared" ref="B284:L284" si="465">IF(AND(B285=$AE$5,$O286=9),$AE$3,IF(AND(B285=$AF$5,$O286=9),$AF$3,IF(AND(B285=$AG$5,$O286=9),$AG$3,IF(AND(B285=$AH$5,$O286=9),$AH$3,IF(AND(B285=$AI$5,$O286=9),$AI$3,IF(AND(B285=$AJ$5,$O286=9),$AJ$3,IF(AND(B285=$AK$5,$O286=9),$AK$3,IF(AND(B285=$AL$5,$O286=9),$AL$3,IF(AND(B285=$AM$5,$O286=9),$AM$3,IF(AND(B285=$AN$5,$O286=9),$AN$3,IF(AND(B285=$AO$5,$O286=9),$AO$3,IF(AND(B285=$AP$5,$O286=9),$AJ$3,IF(AND(B285=$AE$4,$O286=12),$AE$3,IF(AND(B285=$AF$4,$O286=12),$AF$3,IF(AND(B285=$AG$4,$O286=12),$AG$3,IF(AND(B285=$AH$4,$O286=12),$AH$3,IF(AND(B285=$AI$4,$O286=12),$AI$3,IF(AND(B285=$AJ$4,$O286=12),$AJ$3,IF(AND(B285=$AK$4,$O286=12),$AK$3,IF(AND(B285=$AL$4,$O286=12),$AL$3,IF(AND(B285=$AM$4,$O286=12),$AM$3,IF(AND(B285=$AN$4,$O286=12),$AN$3,IF(AND(B285=$AO$4,$O286=12),$AO$3,IF(AND(B285=$AP$4,$O286=12),$AJ$3," "))))))))))))))))))))))))</f>
        <v xml:space="preserve"> </v>
      </c>
      <c r="C284" s="104" t="str">
        <f t="shared" si="465"/>
        <v>Year 1</v>
      </c>
      <c r="D284" s="104" t="str">
        <f t="shared" si="465"/>
        <v>Year 2</v>
      </c>
      <c r="E284" s="104" t="str">
        <f t="shared" si="465"/>
        <v>Year 3</v>
      </c>
      <c r="F284" s="104" t="str">
        <f t="shared" si="465"/>
        <v>Year 4</v>
      </c>
      <c r="G284" s="104" t="str">
        <f t="shared" si="465"/>
        <v>Year 5</v>
      </c>
      <c r="H284" s="104" t="str">
        <f t="shared" si="465"/>
        <v>Year 6</v>
      </c>
      <c r="I284" s="104" t="str">
        <f t="shared" si="465"/>
        <v>Year 7</v>
      </c>
      <c r="J284" s="104" t="str">
        <f t="shared" si="465"/>
        <v>Year 8</v>
      </c>
      <c r="K284" s="104" t="str">
        <f t="shared" si="465"/>
        <v>Year 9</v>
      </c>
      <c r="L284" s="104" t="str">
        <f t="shared" si="465"/>
        <v>Year 10</v>
      </c>
      <c r="M284" s="104" t="str">
        <f>IF(AND(M285=$AE$5,$O286=9),$AE$3,IF(AND(M285=$AF$5,$O286=9),$AF$3,IF(AND(M285=$AG$5,$O286=9),$AG$3,IF(AND(M285=$AH$5,$O286=9),$AH$3,IF(AND(M285=$AI$5,$O286=9),$AI$3,IF(AND(M285=$AJ$5,$O286=9),$AJ$3,IF(AND(M285=$AK$5,$O286=9),$AK$3,IF(AND(M285=$AL$5,$O286=9),$AL$3,IF(AND(M285=$AM$5,$O286=9),$AM$3,IF(AND(M285=$AN$5,$O286=9),$AN$3,IF(AND(M285=$AO$5,$O286=9),$AO$3,IF(AND(M285=$AP$5,$O286=9),$AP$3,IF(AND(M285=$AQ$5,$O286=9),$AJ$3,IF(AND(M285=$AE$4,$O286=12),$AE$3,IF(AND(M285=$AF$4,$O286=12),$AF$3,IF(AND(M285=$AG$4,$O286=12),$AG$3,IF(AND(M285=$AH$4,$O286=12),$AH$3,IF(AND(M285=$AI$4,$O286=12),$AI$3,IF(AND(M285=$AJ$4,$O286=12),$AJ$3,IF(AND(M285=$AK$4,$O286=12),$AK$3,IF(AND(M285=$AL$4,$O286=12),$AL$3,IF(AND(M285=$AM$4,$O286=12),$AM$3,IF(AND(M285=$AN$4,$O286=12),$AN$3,IF(AND(M285=$AO$4,$O286=12),$AO$3,IF(AND(M285=$AP$4,$O286=12),$AP$3,IF(AND(M285=$AQ$4,$O286=12),$AJ$3," "))))))))))))))))))))))))))</f>
        <v>Year 11</v>
      </c>
      <c r="N284" s="104" t="str">
        <f>IF(AND(N285=$AE$5,$O286=9),$AE$3,IF(AND(N285=$AF$5,$O286=9),$AF$3,IF(AND(N285=$AG$5,$O286=9),$AG$3,IF(AND(N285=$AH$5,$O286=9),$AH$3,IF(AND(N285=$AI$5,$O286=9),$AI$3,IF(AND(N285=$AJ$5,$O286=9),$AJ$3,IF(AND(N285=$AK$5,$O286=9),$AK$3,IF(AND(N285=$AL$5,$O286=9),$AL$3,IF(AND(N285=$AM$5,$O286=9),$AM$3,IF(AND(N285=$AN$5,$O286=9),$AN$3,IF(AND(N285=$AO$5,$O286=9),$AO$3,IF(AND(N285=$AP$5,$O286=9),$AP$3,IF(AND(N285=$AQ$5,$O286=9),$AJ$3,IF(AND(N285=$AE$4,$O286=12),$AE$3,IF(AND(N285=$AF$4,$O286=12),$AF$3,IF(AND(N285=$AG$4,$O286=12),$AG$3,IF(AND(N285=$AH$4,$O286=12),$AH$3,IF(AND(N285=$AI$4,$O286=12),$AI$3,IF(AND(N285=$AJ$4,$O286=12),$AJ$3,IF(AND(N285=$AK$4,$O286=12),$AK$3,IF(AND(N285=$AL$4,$O286=12),$AL$3,IF(AND(N285=$AM$4,$O286=12),$AM$3,IF(AND(N285=$AN$4,$O286=12),$AN$3,IF(AND(N285=$AO$4,$O286=12),$AO$3,IF(AND(N285=$AP$4,$O286=12),$AP$3,IF(AND(N285=$AQ$4,$O286=12),$AJ$3," "))))))))))))))))))))))))))</f>
        <v>Year 12</v>
      </c>
    </row>
    <row r="285" spans="1:17" x14ac:dyDescent="0.35">
      <c r="A285" s="200" t="str">
        <f>+B265</f>
        <v>Co-PI</v>
      </c>
      <c r="B285" s="55" t="str">
        <f t="shared" ref="B285:I285" si="466">+N$2</f>
        <v>FY2023</v>
      </c>
      <c r="C285" s="55" t="str">
        <f t="shared" si="466"/>
        <v>FY2024</v>
      </c>
      <c r="D285" s="55" t="str">
        <f t="shared" si="466"/>
        <v>FY2025</v>
      </c>
      <c r="E285" s="55" t="str">
        <f t="shared" si="466"/>
        <v>FY2026</v>
      </c>
      <c r="F285" s="55" t="str">
        <f t="shared" si="466"/>
        <v>FY2027</v>
      </c>
      <c r="G285" s="55" t="str">
        <f t="shared" si="466"/>
        <v>FY2028</v>
      </c>
      <c r="H285" s="55" t="str">
        <f t="shared" si="466"/>
        <v>FY2029</v>
      </c>
      <c r="I285" s="55" t="str">
        <f t="shared" si="466"/>
        <v>FY2030</v>
      </c>
      <c r="J285" s="55" t="str">
        <f t="shared" ref="J285" si="467">+V$2</f>
        <v>FY2031</v>
      </c>
      <c r="K285" s="55" t="str">
        <f t="shared" ref="K285" si="468">+W$2</f>
        <v>FY2032</v>
      </c>
      <c r="L285" s="55" t="str">
        <f t="shared" ref="L285" si="469">+X$2</f>
        <v>FY2033</v>
      </c>
      <c r="M285" s="55" t="str">
        <f t="shared" ref="M285:N285" si="470">+Y$2</f>
        <v>FY2034</v>
      </c>
      <c r="N285" s="55" t="str">
        <f t="shared" si="470"/>
        <v>FY2035</v>
      </c>
      <c r="O285" s="32" t="s">
        <v>20</v>
      </c>
      <c r="P285" s="89" t="s">
        <v>64</v>
      </c>
      <c r="Q285" s="89"/>
    </row>
    <row r="286" spans="1:17" x14ac:dyDescent="0.35">
      <c r="A286" s="201" t="str">
        <f>CONCATENATE("Base Salary: ",O286," month term")</f>
        <v>Base Salary: 9 month term</v>
      </c>
      <c r="B286" s="385">
        <v>0</v>
      </c>
      <c r="C286" s="386">
        <f t="shared" ref="C286:N286" si="471">ROUND(+B286*(1+$P$286),0)</f>
        <v>0</v>
      </c>
      <c r="D286" s="386">
        <f t="shared" si="471"/>
        <v>0</v>
      </c>
      <c r="E286" s="386">
        <f t="shared" si="471"/>
        <v>0</v>
      </c>
      <c r="F286" s="386">
        <f t="shared" si="471"/>
        <v>0</v>
      </c>
      <c r="G286" s="386">
        <f t="shared" si="471"/>
        <v>0</v>
      </c>
      <c r="H286" s="386">
        <f t="shared" si="471"/>
        <v>0</v>
      </c>
      <c r="I286" s="386">
        <f t="shared" si="471"/>
        <v>0</v>
      </c>
      <c r="J286" s="386">
        <f t="shared" si="471"/>
        <v>0</v>
      </c>
      <c r="K286" s="386">
        <f t="shared" si="471"/>
        <v>0</v>
      </c>
      <c r="L286" s="386">
        <f t="shared" si="471"/>
        <v>0</v>
      </c>
      <c r="M286" s="386">
        <f t="shared" si="471"/>
        <v>0</v>
      </c>
      <c r="N286" s="386">
        <f t="shared" si="471"/>
        <v>0</v>
      </c>
      <c r="O286" s="311">
        <v>9</v>
      </c>
      <c r="P286" s="312">
        <v>0.03</v>
      </c>
      <c r="Q286" s="52"/>
    </row>
    <row r="287" spans="1:17" x14ac:dyDescent="0.35">
      <c r="A287" s="201" t="s">
        <v>44</v>
      </c>
      <c r="B287" s="313">
        <v>0</v>
      </c>
      <c r="C287" s="313">
        <v>0</v>
      </c>
      <c r="D287" s="313">
        <v>0</v>
      </c>
      <c r="E287" s="313">
        <v>0</v>
      </c>
      <c r="F287" s="313">
        <v>0</v>
      </c>
      <c r="G287" s="313">
        <v>0</v>
      </c>
      <c r="H287" s="313">
        <v>0</v>
      </c>
      <c r="I287" s="313">
        <v>0</v>
      </c>
      <c r="J287" s="313">
        <v>0</v>
      </c>
      <c r="K287" s="313">
        <v>0</v>
      </c>
      <c r="L287" s="313">
        <v>0</v>
      </c>
      <c r="M287" s="313">
        <v>0</v>
      </c>
      <c r="N287" s="313">
        <v>0</v>
      </c>
      <c r="O287" s="25"/>
      <c r="P287" s="25"/>
      <c r="Q287" s="25"/>
    </row>
    <row r="288" spans="1:17" x14ac:dyDescent="0.35">
      <c r="A288" s="201" t="str">
        <f>CONCATENATE("FTE for ",O286," Months")</f>
        <v>FTE for 9 Months</v>
      </c>
      <c r="B288" s="395">
        <f t="shared" ref="B288:M288" si="472">+B287/$O286</f>
        <v>0</v>
      </c>
      <c r="C288" s="395">
        <f t="shared" si="472"/>
        <v>0</v>
      </c>
      <c r="D288" s="395">
        <f t="shared" si="472"/>
        <v>0</v>
      </c>
      <c r="E288" s="395">
        <f t="shared" si="472"/>
        <v>0</v>
      </c>
      <c r="F288" s="395">
        <f t="shared" si="472"/>
        <v>0</v>
      </c>
      <c r="G288" s="395">
        <f t="shared" si="472"/>
        <v>0</v>
      </c>
      <c r="H288" s="395">
        <f t="shared" si="472"/>
        <v>0</v>
      </c>
      <c r="I288" s="395">
        <f t="shared" si="472"/>
        <v>0</v>
      </c>
      <c r="J288" s="395">
        <f t="shared" si="472"/>
        <v>0</v>
      </c>
      <c r="K288" s="395">
        <f t="shared" si="472"/>
        <v>0</v>
      </c>
      <c r="L288" s="395">
        <f t="shared" si="472"/>
        <v>0</v>
      </c>
      <c r="M288" s="395">
        <f t="shared" si="472"/>
        <v>0</v>
      </c>
      <c r="N288" s="395">
        <f t="shared" ref="N288" si="473">+N287/$O286</f>
        <v>0</v>
      </c>
      <c r="O288" s="89"/>
      <c r="P288" s="89"/>
      <c r="Q288" s="89"/>
    </row>
    <row r="289" spans="1:32" x14ac:dyDescent="0.35">
      <c r="A289" s="202" t="s">
        <v>56</v>
      </c>
      <c r="B289" s="396">
        <f t="shared" ref="B289:G289" si="474">+B287/12</f>
        <v>0</v>
      </c>
      <c r="C289" s="396">
        <f t="shared" si="474"/>
        <v>0</v>
      </c>
      <c r="D289" s="396">
        <f t="shared" si="474"/>
        <v>0</v>
      </c>
      <c r="E289" s="396">
        <f t="shared" si="474"/>
        <v>0</v>
      </c>
      <c r="F289" s="396">
        <f t="shared" si="474"/>
        <v>0</v>
      </c>
      <c r="G289" s="396">
        <f t="shared" si="474"/>
        <v>0</v>
      </c>
      <c r="H289" s="396">
        <f t="shared" ref="H289:L289" si="475">+H287/12</f>
        <v>0</v>
      </c>
      <c r="I289" s="396">
        <f t="shared" si="475"/>
        <v>0</v>
      </c>
      <c r="J289" s="396">
        <f t="shared" si="475"/>
        <v>0</v>
      </c>
      <c r="K289" s="396">
        <f t="shared" si="475"/>
        <v>0</v>
      </c>
      <c r="L289" s="396">
        <f t="shared" si="475"/>
        <v>0</v>
      </c>
      <c r="M289" s="396">
        <f t="shared" ref="M289:N289" si="476">+M287/12</f>
        <v>0</v>
      </c>
      <c r="N289" s="396">
        <f t="shared" si="476"/>
        <v>0</v>
      </c>
      <c r="O289" s="89"/>
      <c r="P289" s="89"/>
      <c r="Q289" s="89"/>
    </row>
    <row r="290" spans="1:32" x14ac:dyDescent="0.35">
      <c r="A290" s="201" t="s">
        <v>21</v>
      </c>
      <c r="B290" s="110">
        <f t="shared" ref="B290:K290" si="477">IF($O286=9,ROUND(B286*B288,0),IF($O286=12,ROUND((B286*B288*$Q$35)+(C286*B288*$Q$36),0),0))</f>
        <v>0</v>
      </c>
      <c r="C290" s="110">
        <f t="shared" si="477"/>
        <v>0</v>
      </c>
      <c r="D290" s="110">
        <f t="shared" si="477"/>
        <v>0</v>
      </c>
      <c r="E290" s="110">
        <f t="shared" si="477"/>
        <v>0</v>
      </c>
      <c r="F290" s="110">
        <f t="shared" si="477"/>
        <v>0</v>
      </c>
      <c r="G290" s="110">
        <f t="shared" si="477"/>
        <v>0</v>
      </c>
      <c r="H290" s="110">
        <f t="shared" si="477"/>
        <v>0</v>
      </c>
      <c r="I290" s="110">
        <f t="shared" si="477"/>
        <v>0</v>
      </c>
      <c r="J290" s="110">
        <f t="shared" si="477"/>
        <v>0</v>
      </c>
      <c r="K290" s="110">
        <f t="shared" si="477"/>
        <v>0</v>
      </c>
      <c r="L290" s="110">
        <f>IF($O286=9,ROUND(L286*L288,0),IF($O286=12,ROUND((L286*L288*$Q$35)+(N286*L288*$Q$36),0),0))</f>
        <v>0</v>
      </c>
      <c r="M290" s="110">
        <f>IF($O286=9,ROUND(M286*M288,0),IF($O286=12,ROUND((M286*M288*$Q$35)+(O286*M288*$Q$36),0),0))</f>
        <v>0</v>
      </c>
      <c r="N290" s="110">
        <f>IF($O286=9,ROUND(N286*N288,0),IF($O286=12,ROUND((N286*N288*$Q$35)+(P286*N288*$Q$36),0),0))</f>
        <v>0</v>
      </c>
      <c r="O290" s="89"/>
      <c r="P290" s="89"/>
      <c r="Q290" s="89"/>
    </row>
    <row r="291" spans="1:32" x14ac:dyDescent="0.35">
      <c r="A291" s="195"/>
      <c r="O291" s="89"/>
      <c r="P291" s="89"/>
      <c r="Q291" s="89"/>
    </row>
    <row r="292" spans="1:32" x14ac:dyDescent="0.35">
      <c r="A292" s="199" t="str">
        <f>CONCATENATE("Calculation based on ",O294," month salary")</f>
        <v>Calculation based on 9 month salary</v>
      </c>
      <c r="B292" s="104" t="str">
        <f t="shared" ref="B292:L292" si="478">IF(AND(B293=$AE$5,$O294=9),$AE$3,IF(AND(B293=$AF$5,$O294=9),$AF$3,IF(AND(B293=$AG$5,$O294=9),$AG$3,IF(AND(B293=$AH$5,$O294=9),$AH$3,IF(AND(B293=$AI$5,$O294=9),$AI$3,IF(AND(B293=$AJ$5,$O294=9),$AJ$3,IF(AND(B293=$AK$5,$O294=9),$AK$3,IF(AND(B293=$AL$5,$O294=9),$AL$3,IF(AND(B293=$AM$5,$O294=9),$AM$3,IF(AND(B293=$AN$5,$O294=9),$AN$3,IF(AND(B293=$AO$5,$O294=9),$AO$3,IF(AND(B293=$AP$5,$O294=9),$AJ$3,IF(AND(B293=$AE$4,$O294=12),$AE$3,IF(AND(B293=$AF$4,$O294=12),$AF$3,IF(AND(B293=$AG$4,$O294=12),$AG$3,IF(AND(B293=$AH$4,$O294=12),$AH$3,IF(AND(B293=$AI$4,$O294=12),$AI$3,IF(AND(B293=$AJ$4,$O294=12),$AJ$3,IF(AND(B293=$AK$4,$O294=12),$AK$3,IF(AND(B293=$AL$4,$O294=12),$AL$3,IF(AND(B293=$AM$4,$O294=12),$AM$3,IF(AND(B293=$AN$4,$O294=12),$AN$3,IF(AND(B293=$AO$4,$O294=12),$AO$3,IF(AND(B293=$AP$4,$O294=12),$AJ$3," "))))))))))))))))))))))))</f>
        <v xml:space="preserve"> </v>
      </c>
      <c r="C292" s="104" t="str">
        <f t="shared" si="478"/>
        <v>Year 1</v>
      </c>
      <c r="D292" s="104" t="str">
        <f t="shared" si="478"/>
        <v>Year 2</v>
      </c>
      <c r="E292" s="104" t="str">
        <f t="shared" si="478"/>
        <v>Year 3</v>
      </c>
      <c r="F292" s="104" t="str">
        <f t="shared" si="478"/>
        <v>Year 4</v>
      </c>
      <c r="G292" s="104" t="str">
        <f t="shared" si="478"/>
        <v>Year 5</v>
      </c>
      <c r="H292" s="104" t="str">
        <f t="shared" si="478"/>
        <v>Year 6</v>
      </c>
      <c r="I292" s="104" t="str">
        <f t="shared" si="478"/>
        <v>Year 7</v>
      </c>
      <c r="J292" s="104" t="str">
        <f t="shared" si="478"/>
        <v>Year 8</v>
      </c>
      <c r="K292" s="104" t="str">
        <f t="shared" si="478"/>
        <v>Year 9</v>
      </c>
      <c r="L292" s="104" t="str">
        <f t="shared" si="478"/>
        <v>Year 10</v>
      </c>
      <c r="M292" s="104" t="str">
        <f>IF(AND(M293=$AE$5,$O294=9),$AE$3,IF(AND(M293=$AF$5,$O294=9),$AF$3,IF(AND(M293=$AG$5,$O294=9),$AG$3,IF(AND(M293=$AH$5,$O294=9),$AH$3,IF(AND(M293=$AI$5,$O294=9),$AI$3,IF(AND(M293=$AJ$5,$O294=9),$AJ$3,IF(AND(M293=$AK$5,$O294=9),$AK$3,IF(AND(M293=$AL$5,$O294=9),$AL$3,IF(AND(M293=$AM$5,$O294=9),$AM$3,IF(AND(M293=$AN$5,$O294=9),$AN$3,IF(AND(M293=$AO$5,$O294=9),$AO$3,IF(AND(M293=$AP$5,$O294=9),$AP$3,IF(AND(M293=$AQ$5,$O294=9),$AJ$3,IF(AND(M293=$AE$4,$O294=12),$AE$3,IF(AND(M293=$AF$4,$O294=12),$AF$3,IF(AND(M293=$AG$4,$O294=12),$AG$3,IF(AND(M293=$AH$4,$O294=12),$AH$3,IF(AND(M293=$AI$4,$O294=12),$AI$3,IF(AND(M293=$AJ$4,$O294=12),$AJ$3,IF(AND(M293=$AK$4,$O294=12),$AK$3,IF(AND(M293=$AL$4,$O294=12),$AL$3,IF(AND(M293=$AM$4,$O294=12),$AM$3,IF(AND(M293=$AN$4,$O294=12),$AN$3,IF(AND(M293=$AO$4,$O294=12),$AO$3,IF(AND(M293=$AP$4,$O294=12),$AP$3,IF(AND(M293=$AQ$4,$O294=12),$AJ$3," "))))))))))))))))))))))))))</f>
        <v>Year 11</v>
      </c>
      <c r="N292" s="104" t="str">
        <f>IF(AND(N293=$AE$5,$O294=9),$AE$3,IF(AND(N293=$AF$5,$O294=9),$AF$3,IF(AND(N293=$AG$5,$O294=9),$AG$3,IF(AND(N293=$AH$5,$O294=9),$AH$3,IF(AND(N293=$AI$5,$O294=9),$AI$3,IF(AND(N293=$AJ$5,$O294=9),$AJ$3,IF(AND(N293=$AK$5,$O294=9),$AK$3,IF(AND(N293=$AL$5,$O294=9),$AL$3,IF(AND(N293=$AM$5,$O294=9),$AM$3,IF(AND(N293=$AN$5,$O294=9),$AN$3,IF(AND(N293=$AO$5,$O294=9),$AO$3,IF(AND(N293=$AP$5,$O294=9),$AP$3,IF(AND(N293=$AQ$5,$O294=9),$AJ$3,IF(AND(N293=$AE$4,$O294=12),$AE$3,IF(AND(N293=$AF$4,$O294=12),$AF$3,IF(AND(N293=$AG$4,$O294=12),$AG$3,IF(AND(N293=$AH$4,$O294=12),$AH$3,IF(AND(N293=$AI$4,$O294=12),$AI$3,IF(AND(N293=$AJ$4,$O294=12),$AJ$3,IF(AND(N293=$AK$4,$O294=12),$AK$3,IF(AND(N293=$AL$4,$O294=12),$AL$3,IF(AND(N293=$AM$4,$O294=12),$AM$3,IF(AND(N293=$AN$4,$O294=12),$AN$3,IF(AND(N293=$AO$4,$O294=12),$AO$3,IF(AND(N293=$AP$4,$O294=12),$AP$3,IF(AND(N293=$AQ$4,$O294=12),$AJ$3," "))))))))))))))))))))))))))</f>
        <v>Year 12</v>
      </c>
      <c r="O292" s="89"/>
      <c r="P292" s="89"/>
      <c r="Q292" s="89"/>
      <c r="V292" s="23"/>
    </row>
    <row r="293" spans="1:32" x14ac:dyDescent="0.35">
      <c r="A293" s="200" t="str">
        <f>+B266</f>
        <v>Co-PI</v>
      </c>
      <c r="B293" s="55" t="str">
        <f t="shared" ref="B293:I293" si="479">+N$2</f>
        <v>FY2023</v>
      </c>
      <c r="C293" s="55" t="str">
        <f t="shared" si="479"/>
        <v>FY2024</v>
      </c>
      <c r="D293" s="55" t="str">
        <f t="shared" si="479"/>
        <v>FY2025</v>
      </c>
      <c r="E293" s="55" t="str">
        <f t="shared" si="479"/>
        <v>FY2026</v>
      </c>
      <c r="F293" s="55" t="str">
        <f t="shared" si="479"/>
        <v>FY2027</v>
      </c>
      <c r="G293" s="55" t="str">
        <f t="shared" si="479"/>
        <v>FY2028</v>
      </c>
      <c r="H293" s="55" t="str">
        <f t="shared" si="479"/>
        <v>FY2029</v>
      </c>
      <c r="I293" s="55" t="str">
        <f t="shared" si="479"/>
        <v>FY2030</v>
      </c>
      <c r="J293" s="55" t="str">
        <f t="shared" ref="J293" si="480">+V$2</f>
        <v>FY2031</v>
      </c>
      <c r="K293" s="55" t="str">
        <f t="shared" ref="K293" si="481">+W$2</f>
        <v>FY2032</v>
      </c>
      <c r="L293" s="55" t="str">
        <f t="shared" ref="L293" si="482">+X$2</f>
        <v>FY2033</v>
      </c>
      <c r="M293" s="55" t="str">
        <f t="shared" ref="M293:N293" si="483">+Y$2</f>
        <v>FY2034</v>
      </c>
      <c r="N293" s="55" t="str">
        <f t="shared" si="483"/>
        <v>FY2035</v>
      </c>
      <c r="O293" s="32" t="s">
        <v>20</v>
      </c>
      <c r="P293" s="89" t="s">
        <v>64</v>
      </c>
      <c r="Q293" s="89"/>
      <c r="V293" s="23"/>
    </row>
    <row r="294" spans="1:32" x14ac:dyDescent="0.35">
      <c r="A294" s="201" t="str">
        <f>CONCATENATE("Base Salary: ",O294," month term")</f>
        <v>Base Salary: 9 month term</v>
      </c>
      <c r="B294" s="385">
        <v>0</v>
      </c>
      <c r="C294" s="386">
        <f t="shared" ref="C294:N294" si="484">ROUND(+B294*(1+$P$294),0)</f>
        <v>0</v>
      </c>
      <c r="D294" s="386">
        <f t="shared" si="484"/>
        <v>0</v>
      </c>
      <c r="E294" s="386">
        <f t="shared" si="484"/>
        <v>0</v>
      </c>
      <c r="F294" s="386">
        <f t="shared" si="484"/>
        <v>0</v>
      </c>
      <c r="G294" s="386">
        <f t="shared" si="484"/>
        <v>0</v>
      </c>
      <c r="H294" s="386">
        <f t="shared" si="484"/>
        <v>0</v>
      </c>
      <c r="I294" s="386">
        <f t="shared" si="484"/>
        <v>0</v>
      </c>
      <c r="J294" s="386">
        <f t="shared" si="484"/>
        <v>0</v>
      </c>
      <c r="K294" s="386">
        <f t="shared" si="484"/>
        <v>0</v>
      </c>
      <c r="L294" s="386">
        <f t="shared" si="484"/>
        <v>0</v>
      </c>
      <c r="M294" s="386">
        <f t="shared" si="484"/>
        <v>0</v>
      </c>
      <c r="N294" s="386">
        <f t="shared" si="484"/>
        <v>0</v>
      </c>
      <c r="O294" s="311">
        <v>9</v>
      </c>
      <c r="P294" s="312">
        <v>0.03</v>
      </c>
      <c r="Q294" s="52"/>
      <c r="V294" s="23"/>
    </row>
    <row r="295" spans="1:32" x14ac:dyDescent="0.35">
      <c r="A295" s="201" t="s">
        <v>44</v>
      </c>
      <c r="B295" s="313">
        <v>0</v>
      </c>
      <c r="C295" s="313">
        <v>0</v>
      </c>
      <c r="D295" s="313">
        <v>0</v>
      </c>
      <c r="E295" s="313">
        <v>0</v>
      </c>
      <c r="F295" s="313">
        <v>0</v>
      </c>
      <c r="G295" s="313">
        <v>0</v>
      </c>
      <c r="H295" s="313">
        <v>0</v>
      </c>
      <c r="I295" s="313">
        <v>0</v>
      </c>
      <c r="J295" s="313">
        <v>0</v>
      </c>
      <c r="K295" s="313">
        <v>0</v>
      </c>
      <c r="L295" s="313">
        <v>0</v>
      </c>
      <c r="M295" s="313">
        <v>0</v>
      </c>
      <c r="N295" s="313">
        <v>0</v>
      </c>
      <c r="O295" s="25"/>
      <c r="P295" s="25"/>
      <c r="Q295" s="25"/>
    </row>
    <row r="296" spans="1:32" x14ac:dyDescent="0.35">
      <c r="A296" s="201" t="str">
        <f>CONCATENATE("FTE for ",O294," Months")</f>
        <v>FTE for 9 Months</v>
      </c>
      <c r="B296" s="395">
        <f t="shared" ref="B296:M296" si="485">+B295/$O294</f>
        <v>0</v>
      </c>
      <c r="C296" s="395">
        <f t="shared" si="485"/>
        <v>0</v>
      </c>
      <c r="D296" s="395">
        <f t="shared" si="485"/>
        <v>0</v>
      </c>
      <c r="E296" s="395">
        <f t="shared" si="485"/>
        <v>0</v>
      </c>
      <c r="F296" s="395">
        <f t="shared" si="485"/>
        <v>0</v>
      </c>
      <c r="G296" s="395">
        <f t="shared" si="485"/>
        <v>0</v>
      </c>
      <c r="H296" s="395">
        <f t="shared" si="485"/>
        <v>0</v>
      </c>
      <c r="I296" s="395">
        <f t="shared" si="485"/>
        <v>0</v>
      </c>
      <c r="J296" s="395">
        <f t="shared" si="485"/>
        <v>0</v>
      </c>
      <c r="K296" s="395">
        <f t="shared" si="485"/>
        <v>0</v>
      </c>
      <c r="L296" s="395">
        <f t="shared" si="485"/>
        <v>0</v>
      </c>
      <c r="M296" s="395">
        <f t="shared" si="485"/>
        <v>0</v>
      </c>
      <c r="N296" s="395">
        <f t="shared" ref="N296" si="486">+N295/$O294</f>
        <v>0</v>
      </c>
      <c r="O296" s="89"/>
      <c r="P296" s="89"/>
      <c r="Q296" s="89"/>
    </row>
    <row r="297" spans="1:32" x14ac:dyDescent="0.35">
      <c r="A297" s="202" t="s">
        <v>56</v>
      </c>
      <c r="B297" s="396">
        <f>+B295/12</f>
        <v>0</v>
      </c>
      <c r="C297" s="396">
        <f>+C295/12</f>
        <v>0</v>
      </c>
      <c r="D297" s="396">
        <f t="shared" ref="D297:F297" si="487">+D295/12</f>
        <v>0</v>
      </c>
      <c r="E297" s="396">
        <f t="shared" si="487"/>
        <v>0</v>
      </c>
      <c r="F297" s="396">
        <f t="shared" si="487"/>
        <v>0</v>
      </c>
      <c r="G297" s="396">
        <f t="shared" ref="G297:L297" si="488">+G295/12</f>
        <v>0</v>
      </c>
      <c r="H297" s="396">
        <f t="shared" si="488"/>
        <v>0</v>
      </c>
      <c r="I297" s="396">
        <f t="shared" si="488"/>
        <v>0</v>
      </c>
      <c r="J297" s="396">
        <f t="shared" si="488"/>
        <v>0</v>
      </c>
      <c r="K297" s="396">
        <f t="shared" si="488"/>
        <v>0</v>
      </c>
      <c r="L297" s="396">
        <f t="shared" si="488"/>
        <v>0</v>
      </c>
      <c r="M297" s="396">
        <f t="shared" ref="M297:N297" si="489">+M295/12</f>
        <v>0</v>
      </c>
      <c r="N297" s="396">
        <f t="shared" si="489"/>
        <v>0</v>
      </c>
      <c r="O297" s="89"/>
      <c r="P297" s="89"/>
      <c r="Q297" s="89"/>
    </row>
    <row r="298" spans="1:32" x14ac:dyDescent="0.35">
      <c r="A298" s="201" t="s">
        <v>21</v>
      </c>
      <c r="B298" s="110">
        <f t="shared" ref="B298:K298" si="490">IF($O294=9,ROUND(B294*B296,0),IF($O294=12,ROUND((B294*B296*$Q$35)+(C294*B296*$Q$36),0),0))</f>
        <v>0</v>
      </c>
      <c r="C298" s="110">
        <f t="shared" si="490"/>
        <v>0</v>
      </c>
      <c r="D298" s="110">
        <f t="shared" si="490"/>
        <v>0</v>
      </c>
      <c r="E298" s="110">
        <f t="shared" si="490"/>
        <v>0</v>
      </c>
      <c r="F298" s="110">
        <f t="shared" si="490"/>
        <v>0</v>
      </c>
      <c r="G298" s="110">
        <f t="shared" si="490"/>
        <v>0</v>
      </c>
      <c r="H298" s="110">
        <f t="shared" si="490"/>
        <v>0</v>
      </c>
      <c r="I298" s="110">
        <f t="shared" si="490"/>
        <v>0</v>
      </c>
      <c r="J298" s="110">
        <f t="shared" si="490"/>
        <v>0</v>
      </c>
      <c r="K298" s="110">
        <f t="shared" si="490"/>
        <v>0</v>
      </c>
      <c r="L298" s="110">
        <f>IF($O294=9,ROUND(L294*L296,0),IF($O294=12,ROUND((L294*L296*$Q$35)+(N294*L296*$Q$36),0),0))</f>
        <v>0</v>
      </c>
      <c r="M298" s="110">
        <f>IF($O294=9,ROUND(M294*M296,0),IF($O294=12,ROUND((M294*M296*$Q$35)+(O294*M296*$Q$36),0),0))</f>
        <v>0</v>
      </c>
      <c r="N298" s="110">
        <f>IF($O294=9,ROUND(N294*N296,0),IF($O294=12,ROUND((N294*N296*$Q$35)+(P294*N296*$Q$36),0),0))</f>
        <v>0</v>
      </c>
      <c r="O298" s="89"/>
      <c r="P298" s="89"/>
      <c r="Q298" s="89"/>
    </row>
    <row r="299" spans="1:32" x14ac:dyDescent="0.35">
      <c r="A299" s="201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89"/>
      <c r="P299" s="89"/>
      <c r="Q299" s="89"/>
      <c r="R299" s="26"/>
      <c r="S299" s="23"/>
      <c r="T299" s="23"/>
      <c r="U299" s="23"/>
      <c r="V299" s="23"/>
      <c r="W299" s="23"/>
    </row>
    <row r="300" spans="1:32" x14ac:dyDescent="0.35">
      <c r="A300" s="199" t="str">
        <f>CONCATENATE("Calculation based on ",O302," month salary")</f>
        <v>Calculation based on 9 month salary</v>
      </c>
      <c r="B300" s="104" t="str">
        <f t="shared" ref="B300:L300" si="491">IF(AND(B301=$AE$5,$O302=9),$AE$3,IF(AND(B301=$AF$5,$O302=9),$AF$3,IF(AND(B301=$AG$5,$O302=9),$AG$3,IF(AND(B301=$AH$5,$O302=9),$AH$3,IF(AND(B301=$AI$5,$O302=9),$AI$3,IF(AND(B301=$AJ$5,$O302=9),$AJ$3,IF(AND(B301=$AK$5,$O302=9),$AK$3,IF(AND(B301=$AL$5,$O302=9),$AL$3,IF(AND(B301=$AM$5,$O302=9),$AM$3,IF(AND(B301=$AN$5,$O302=9),$AN$3,IF(AND(B301=$AO$5,$O302=9),$AO$3,IF(AND(B301=$AP$5,$O302=9),$AJ$3,IF(AND(B301=$AE$4,$O302=12),$AE$3,IF(AND(B301=$AF$4,$O302=12),$AF$3,IF(AND(B301=$AG$4,$O302=12),$AG$3,IF(AND(B301=$AH$4,$O302=12),$AH$3,IF(AND(B301=$AI$4,$O302=12),$AI$3,IF(AND(B301=$AJ$4,$O302=12),$AJ$3,IF(AND(B301=$AK$4,$O302=12),$AK$3,IF(AND(B301=$AL$4,$O302=12),$AL$3,IF(AND(B301=$AM$4,$O302=12),$AM$3,IF(AND(B301=$AN$4,$O302=12),$AN$3,IF(AND(B301=$AO$4,$O302=12),$AO$3,IF(AND(B301=$AP$4,$O302=12),$AJ$3," "))))))))))))))))))))))))</f>
        <v xml:space="preserve"> </v>
      </c>
      <c r="C300" s="104" t="str">
        <f t="shared" si="491"/>
        <v>Year 1</v>
      </c>
      <c r="D300" s="104" t="str">
        <f t="shared" si="491"/>
        <v>Year 2</v>
      </c>
      <c r="E300" s="104" t="str">
        <f t="shared" si="491"/>
        <v>Year 3</v>
      </c>
      <c r="F300" s="104" t="str">
        <f t="shared" si="491"/>
        <v>Year 4</v>
      </c>
      <c r="G300" s="104" t="str">
        <f t="shared" si="491"/>
        <v>Year 5</v>
      </c>
      <c r="H300" s="104" t="str">
        <f t="shared" si="491"/>
        <v>Year 6</v>
      </c>
      <c r="I300" s="104" t="str">
        <f t="shared" si="491"/>
        <v>Year 7</v>
      </c>
      <c r="J300" s="104" t="str">
        <f t="shared" si="491"/>
        <v>Year 8</v>
      </c>
      <c r="K300" s="104" t="str">
        <f t="shared" si="491"/>
        <v>Year 9</v>
      </c>
      <c r="L300" s="104" t="str">
        <f t="shared" si="491"/>
        <v>Year 10</v>
      </c>
      <c r="M300" s="104" t="str">
        <f>IF(AND(M301=$AE$5,$O302=9),$AE$3,IF(AND(M301=$AF$5,$O302=9),$AF$3,IF(AND(M301=$AG$5,$O302=9),$AG$3,IF(AND(M301=$AH$5,$O302=9),$AH$3,IF(AND(M301=$AI$5,$O302=9),$AI$3,IF(AND(M301=$AJ$5,$O302=9),$AJ$3,IF(AND(M301=$AK$5,$O302=9),$AK$3,IF(AND(M301=$AL$5,$O302=9),$AL$3,IF(AND(M301=$AM$5,$O302=9),$AM$3,IF(AND(M301=$AN$5,$O302=9),$AN$3,IF(AND(M301=$AO$5,$O302=9),$AO$3,IF(AND(M301=$AP$5,$O302=9),$AP$3,IF(AND(M301=$AQ$5,$O302=9),$AJ$3,IF(AND(M301=$AE$4,$O302=12),$AE$3,IF(AND(M301=$AF$4,$O302=12),$AF$3,IF(AND(M301=$AG$4,$O302=12),$AG$3,IF(AND(M301=$AH$4,$O302=12),$AH$3,IF(AND(M301=$AI$4,$O302=12),$AI$3,IF(AND(M301=$AJ$4,$O302=12),$AJ$3,IF(AND(M301=$AK$4,$O302=12),$AK$3,IF(AND(M301=$AL$4,$O302=12),$AL$3,IF(AND(M301=$AM$4,$O302=12),$AM$3,IF(AND(M301=$AN$4,$O302=12),$AN$3,IF(AND(M301=$AO$4,$O302=12),$AO$3,IF(AND(M301=$AP$4,$O302=12),$AP$3,IF(AND(M301=$AQ$4,$O302=12),$AJ$3," "))))))))))))))))))))))))))</f>
        <v>Year 11</v>
      </c>
      <c r="N300" s="104" t="str">
        <f>IF(AND(N301=$AE$5,$O302=9),$AE$3,IF(AND(N301=$AF$5,$O302=9),$AF$3,IF(AND(N301=$AG$5,$O302=9),$AG$3,IF(AND(N301=$AH$5,$O302=9),$AH$3,IF(AND(N301=$AI$5,$O302=9),$AI$3,IF(AND(N301=$AJ$5,$O302=9),$AJ$3,IF(AND(N301=$AK$5,$O302=9),$AK$3,IF(AND(N301=$AL$5,$O302=9),$AL$3,IF(AND(N301=$AM$5,$O302=9),$AM$3,IF(AND(N301=$AN$5,$O302=9),$AN$3,IF(AND(N301=$AO$5,$O302=9),$AO$3,IF(AND(N301=$AP$5,$O302=9),$AP$3,IF(AND(N301=$AQ$5,$O302=9),$AJ$3,IF(AND(N301=$AE$4,$O302=12),$AE$3,IF(AND(N301=$AF$4,$O302=12),$AF$3,IF(AND(N301=$AG$4,$O302=12),$AG$3,IF(AND(N301=$AH$4,$O302=12),$AH$3,IF(AND(N301=$AI$4,$O302=12),$AI$3,IF(AND(N301=$AJ$4,$O302=12),$AJ$3,IF(AND(N301=$AK$4,$O302=12),$AK$3,IF(AND(N301=$AL$4,$O302=12),$AL$3,IF(AND(N301=$AM$4,$O302=12),$AM$3,IF(AND(N301=$AN$4,$O302=12),$AN$3,IF(AND(N301=$AO$4,$O302=12),$AO$3,IF(AND(N301=$AP$4,$O302=12),$AP$3,IF(AND(N301=$AQ$4,$O302=12),$AJ$3," "))))))))))))))))))))))))))</f>
        <v>Year 12</v>
      </c>
      <c r="O300" s="89"/>
      <c r="P300" s="89"/>
      <c r="Q300" s="89"/>
    </row>
    <row r="301" spans="1:32" x14ac:dyDescent="0.35">
      <c r="A301" s="200" t="str">
        <f>+B267</f>
        <v>Co-PI</v>
      </c>
      <c r="B301" s="55" t="str">
        <f t="shared" ref="B301:I301" si="492">+N$2</f>
        <v>FY2023</v>
      </c>
      <c r="C301" s="55" t="str">
        <f t="shared" si="492"/>
        <v>FY2024</v>
      </c>
      <c r="D301" s="55" t="str">
        <f t="shared" si="492"/>
        <v>FY2025</v>
      </c>
      <c r="E301" s="55" t="str">
        <f t="shared" si="492"/>
        <v>FY2026</v>
      </c>
      <c r="F301" s="55" t="str">
        <f t="shared" si="492"/>
        <v>FY2027</v>
      </c>
      <c r="G301" s="55" t="str">
        <f t="shared" si="492"/>
        <v>FY2028</v>
      </c>
      <c r="H301" s="55" t="str">
        <f t="shared" si="492"/>
        <v>FY2029</v>
      </c>
      <c r="I301" s="55" t="str">
        <f t="shared" si="492"/>
        <v>FY2030</v>
      </c>
      <c r="J301" s="55" t="str">
        <f t="shared" ref="J301" si="493">+V$2</f>
        <v>FY2031</v>
      </c>
      <c r="K301" s="55" t="str">
        <f t="shared" ref="K301" si="494">+W$2</f>
        <v>FY2032</v>
      </c>
      <c r="L301" s="55" t="str">
        <f t="shared" ref="L301" si="495">+X$2</f>
        <v>FY2033</v>
      </c>
      <c r="M301" s="55" t="str">
        <f t="shared" ref="M301:N301" si="496">+Y$2</f>
        <v>FY2034</v>
      </c>
      <c r="N301" s="55" t="str">
        <f t="shared" si="496"/>
        <v>FY2035</v>
      </c>
      <c r="O301" s="32" t="s">
        <v>20</v>
      </c>
      <c r="P301" s="89" t="s">
        <v>64</v>
      </c>
      <c r="Q301" s="89"/>
    </row>
    <row r="302" spans="1:32" x14ac:dyDescent="0.35">
      <c r="A302" s="201" t="str">
        <f>CONCATENATE("Base Salary: ",O302," month term")</f>
        <v>Base Salary: 9 month term</v>
      </c>
      <c r="B302" s="385">
        <v>0</v>
      </c>
      <c r="C302" s="386">
        <f t="shared" ref="C302:N302" si="497">ROUND(+B302*(1+$P$302),0)</f>
        <v>0</v>
      </c>
      <c r="D302" s="386">
        <f t="shared" si="497"/>
        <v>0</v>
      </c>
      <c r="E302" s="386">
        <f t="shared" si="497"/>
        <v>0</v>
      </c>
      <c r="F302" s="386">
        <f t="shared" si="497"/>
        <v>0</v>
      </c>
      <c r="G302" s="386">
        <f t="shared" si="497"/>
        <v>0</v>
      </c>
      <c r="H302" s="386">
        <f t="shared" si="497"/>
        <v>0</v>
      </c>
      <c r="I302" s="386">
        <f t="shared" si="497"/>
        <v>0</v>
      </c>
      <c r="J302" s="386">
        <f t="shared" si="497"/>
        <v>0</v>
      </c>
      <c r="K302" s="386">
        <f t="shared" si="497"/>
        <v>0</v>
      </c>
      <c r="L302" s="386">
        <f t="shared" si="497"/>
        <v>0</v>
      </c>
      <c r="M302" s="386">
        <f t="shared" si="497"/>
        <v>0</v>
      </c>
      <c r="N302" s="386">
        <f t="shared" si="497"/>
        <v>0</v>
      </c>
      <c r="O302" s="311">
        <v>9</v>
      </c>
      <c r="P302" s="312">
        <v>0.03</v>
      </c>
      <c r="Q302" s="52"/>
    </row>
    <row r="303" spans="1:32" x14ac:dyDescent="0.35">
      <c r="A303" s="201" t="s">
        <v>44</v>
      </c>
      <c r="B303" s="313">
        <v>0</v>
      </c>
      <c r="C303" s="313">
        <v>0</v>
      </c>
      <c r="D303" s="313">
        <v>0</v>
      </c>
      <c r="E303" s="313">
        <v>0</v>
      </c>
      <c r="F303" s="313">
        <v>0</v>
      </c>
      <c r="G303" s="313">
        <v>0</v>
      </c>
      <c r="H303" s="313">
        <v>0</v>
      </c>
      <c r="I303" s="313">
        <v>0</v>
      </c>
      <c r="J303" s="313">
        <v>0</v>
      </c>
      <c r="K303" s="313">
        <v>0</v>
      </c>
      <c r="L303" s="313">
        <v>0</v>
      </c>
      <c r="M303" s="313">
        <v>0</v>
      </c>
      <c r="N303" s="313">
        <v>0</v>
      </c>
      <c r="O303" s="25"/>
      <c r="P303" s="25"/>
      <c r="Q303" s="204"/>
      <c r="R303" s="42" t="str">
        <f>+O$20</f>
        <v>Graduate Student (Stipend, Tuition, Health Ins) - Endowed College Rates:</v>
      </c>
    </row>
    <row r="304" spans="1:32" x14ac:dyDescent="0.35">
      <c r="A304" s="201" t="str">
        <f>CONCATENATE("FTE for ",O302," Months")</f>
        <v>FTE for 9 Months</v>
      </c>
      <c r="B304" s="395">
        <f t="shared" ref="B304:M304" si="498">+B303/$O302</f>
        <v>0</v>
      </c>
      <c r="C304" s="395">
        <f t="shared" si="498"/>
        <v>0</v>
      </c>
      <c r="D304" s="395">
        <f t="shared" si="498"/>
        <v>0</v>
      </c>
      <c r="E304" s="395">
        <f t="shared" si="498"/>
        <v>0</v>
      </c>
      <c r="F304" s="395">
        <f t="shared" si="498"/>
        <v>0</v>
      </c>
      <c r="G304" s="395">
        <f t="shared" si="498"/>
        <v>0</v>
      </c>
      <c r="H304" s="395">
        <f t="shared" si="498"/>
        <v>0</v>
      </c>
      <c r="I304" s="395">
        <f t="shared" si="498"/>
        <v>0</v>
      </c>
      <c r="J304" s="395">
        <f t="shared" si="498"/>
        <v>0</v>
      </c>
      <c r="K304" s="395">
        <f t="shared" si="498"/>
        <v>0</v>
      </c>
      <c r="L304" s="395">
        <f t="shared" si="498"/>
        <v>0</v>
      </c>
      <c r="M304" s="395">
        <f t="shared" si="498"/>
        <v>0</v>
      </c>
      <c r="N304" s="395">
        <f t="shared" ref="N304" si="499">+N303/$O302</f>
        <v>0</v>
      </c>
      <c r="O304" s="89"/>
      <c r="P304" s="89"/>
      <c r="Q304" s="204"/>
      <c r="R304" s="25"/>
      <c r="S304" s="113" t="str">
        <f>+$P$24</f>
        <v>FY2023</v>
      </c>
      <c r="T304" s="113" t="str">
        <f>+$Q$24</f>
        <v>FY2024</v>
      </c>
      <c r="U304" s="113" t="str">
        <f>+$R$24</f>
        <v>FY2025</v>
      </c>
      <c r="V304" s="113" t="str">
        <f>+$S$24</f>
        <v>FY2026</v>
      </c>
      <c r="W304" s="113" t="str">
        <f>+$T$24</f>
        <v>FY2027</v>
      </c>
      <c r="X304" s="113" t="str">
        <f>+$U$24</f>
        <v>FY2028</v>
      </c>
      <c r="Y304" s="113" t="str">
        <f>+$V$24</f>
        <v>FY2029</v>
      </c>
      <c r="Z304" s="113" t="str">
        <f>+$W$24</f>
        <v>FY2030</v>
      </c>
      <c r="AA304" s="113" t="str">
        <f>+$X$24</f>
        <v>FY2031</v>
      </c>
      <c r="AB304" s="113" t="str">
        <f>+$Y$24</f>
        <v>FY2032</v>
      </c>
      <c r="AC304" s="113" t="str">
        <f>+$Z$24</f>
        <v>FY2033</v>
      </c>
      <c r="AD304" s="113" t="str">
        <f>+$AA$24</f>
        <v>FY2034</v>
      </c>
      <c r="AE304" s="113" t="str">
        <f>+$AB$24</f>
        <v>FY2035</v>
      </c>
      <c r="AF304" s="114" t="s">
        <v>101</v>
      </c>
    </row>
    <row r="305" spans="1:33" x14ac:dyDescent="0.35">
      <c r="A305" s="202" t="s">
        <v>56</v>
      </c>
      <c r="B305" s="396">
        <f>+B303/12</f>
        <v>0</v>
      </c>
      <c r="C305" s="396">
        <f>+C303/12</f>
        <v>0</v>
      </c>
      <c r="D305" s="396">
        <f t="shared" ref="D305" si="500">+D303/12</f>
        <v>0</v>
      </c>
      <c r="E305" s="396">
        <f t="shared" ref="E305:L305" si="501">+E303/12</f>
        <v>0</v>
      </c>
      <c r="F305" s="396">
        <f t="shared" si="501"/>
        <v>0</v>
      </c>
      <c r="G305" s="396">
        <f t="shared" si="501"/>
        <v>0</v>
      </c>
      <c r="H305" s="396">
        <f t="shared" si="501"/>
        <v>0</v>
      </c>
      <c r="I305" s="396">
        <f t="shared" si="501"/>
        <v>0</v>
      </c>
      <c r="J305" s="396">
        <f t="shared" si="501"/>
        <v>0</v>
      </c>
      <c r="K305" s="396">
        <f t="shared" si="501"/>
        <v>0</v>
      </c>
      <c r="L305" s="396">
        <f t="shared" si="501"/>
        <v>0</v>
      </c>
      <c r="M305" s="396">
        <f t="shared" ref="M305:N305" si="502">+M303/12</f>
        <v>0</v>
      </c>
      <c r="N305" s="396">
        <f t="shared" si="502"/>
        <v>0</v>
      </c>
      <c r="O305" s="89"/>
      <c r="P305" s="89"/>
      <c r="Q305" s="204"/>
      <c r="R305" s="30" t="s">
        <v>35</v>
      </c>
      <c r="S305" s="101">
        <f>+$P$25</f>
        <v>30087</v>
      </c>
      <c r="T305" s="101">
        <f>IF(ROUND(S305*(1+$AF305),0)=$Q$25,ROUND(S305*(1+$AF305),0),$Q$25)</f>
        <v>32494.5</v>
      </c>
      <c r="U305" s="101">
        <f t="shared" ref="U305:AE305" si="503">ROUND(T305*(1+$AF305),0)</f>
        <v>35094</v>
      </c>
      <c r="V305" s="101">
        <f t="shared" si="503"/>
        <v>37902</v>
      </c>
      <c r="W305" s="101">
        <f t="shared" si="503"/>
        <v>40934</v>
      </c>
      <c r="X305" s="101">
        <f t="shared" si="503"/>
        <v>44209</v>
      </c>
      <c r="Y305" s="101">
        <f t="shared" si="503"/>
        <v>47746</v>
      </c>
      <c r="Z305" s="101">
        <f t="shared" si="503"/>
        <v>51566</v>
      </c>
      <c r="AA305" s="101">
        <f t="shared" si="503"/>
        <v>55691</v>
      </c>
      <c r="AB305" s="101">
        <f t="shared" si="503"/>
        <v>60146</v>
      </c>
      <c r="AC305" s="101">
        <f t="shared" si="503"/>
        <v>64958</v>
      </c>
      <c r="AD305" s="101">
        <f t="shared" si="503"/>
        <v>70155</v>
      </c>
      <c r="AE305" s="101">
        <f t="shared" si="503"/>
        <v>75767</v>
      </c>
      <c r="AF305" s="31">
        <v>0.08</v>
      </c>
    </row>
    <row r="306" spans="1:33" x14ac:dyDescent="0.35">
      <c r="A306" s="201" t="s">
        <v>21</v>
      </c>
      <c r="B306" s="110">
        <f t="shared" ref="B306:K306" si="504">IF($O302=9,ROUND(B302*B304,0),IF($O302=12,ROUND((B302*B304*$Q$35)+(C302*B304*$Q$36),0),0))</f>
        <v>0</v>
      </c>
      <c r="C306" s="110">
        <f t="shared" si="504"/>
        <v>0</v>
      </c>
      <c r="D306" s="110">
        <f t="shared" si="504"/>
        <v>0</v>
      </c>
      <c r="E306" s="110">
        <f t="shared" si="504"/>
        <v>0</v>
      </c>
      <c r="F306" s="110">
        <f t="shared" si="504"/>
        <v>0</v>
      </c>
      <c r="G306" s="110">
        <f t="shared" si="504"/>
        <v>0</v>
      </c>
      <c r="H306" s="110">
        <f t="shared" si="504"/>
        <v>0</v>
      </c>
      <c r="I306" s="110">
        <f t="shared" si="504"/>
        <v>0</v>
      </c>
      <c r="J306" s="110">
        <f t="shared" si="504"/>
        <v>0</v>
      </c>
      <c r="K306" s="110">
        <f t="shared" si="504"/>
        <v>0</v>
      </c>
      <c r="L306" s="110">
        <f>IF($O302=9,ROUND(L302*L304,0),IF($O302=12,ROUND((L302*L304*$Q$35)+(N302*L304*$Q$36),0),0))</f>
        <v>0</v>
      </c>
      <c r="M306" s="110">
        <f>IF($O302=9,ROUND(M302*M304,0),IF($O302=12,ROUND((M302*M304*$Q$35)+(O302*M304*$Q$36),0),0))</f>
        <v>0</v>
      </c>
      <c r="N306" s="110">
        <f>IF($O302=9,ROUND(N302*N304,0),IF($O302=12,ROUND((N302*N304*$Q$35)+(P302*N304*$Q$36),0),0))</f>
        <v>0</v>
      </c>
      <c r="O306" s="89"/>
      <c r="P306" s="89"/>
      <c r="Q306" s="204"/>
      <c r="R306" s="30" t="s">
        <v>23</v>
      </c>
      <c r="S306" s="101">
        <f>+$P$26</f>
        <v>10029</v>
      </c>
      <c r="T306" s="101">
        <f>IF(ROUND(S306*(1+$AF306),0)=$Q$26,ROUND(S306*(1+$AF306),0),$Q$26)</f>
        <v>10831.5</v>
      </c>
      <c r="U306" s="101">
        <f t="shared" ref="U306:AE306" si="505">ROUND(T306*(1+$AF306),0)</f>
        <v>11698</v>
      </c>
      <c r="V306" s="101">
        <f t="shared" si="505"/>
        <v>12634</v>
      </c>
      <c r="W306" s="101">
        <f t="shared" si="505"/>
        <v>13645</v>
      </c>
      <c r="X306" s="101">
        <f t="shared" si="505"/>
        <v>14737</v>
      </c>
      <c r="Y306" s="101">
        <f t="shared" si="505"/>
        <v>15916</v>
      </c>
      <c r="Z306" s="101">
        <f t="shared" si="505"/>
        <v>17189</v>
      </c>
      <c r="AA306" s="101">
        <f t="shared" si="505"/>
        <v>18564</v>
      </c>
      <c r="AB306" s="101">
        <f t="shared" si="505"/>
        <v>20049</v>
      </c>
      <c r="AC306" s="101">
        <f t="shared" si="505"/>
        <v>21653</v>
      </c>
      <c r="AD306" s="101">
        <f t="shared" si="505"/>
        <v>23385</v>
      </c>
      <c r="AE306" s="101">
        <f t="shared" si="505"/>
        <v>25256</v>
      </c>
      <c r="AF306" s="66">
        <v>0.08</v>
      </c>
    </row>
    <row r="307" spans="1:33" x14ac:dyDescent="0.35">
      <c r="A307" s="201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89"/>
      <c r="P307" s="89"/>
      <c r="Q307" s="204"/>
      <c r="R307" s="30" t="s">
        <v>30</v>
      </c>
      <c r="S307" s="101">
        <f>+$P$27</f>
        <v>40116</v>
      </c>
      <c r="T307" s="101">
        <f>+T305+T306</f>
        <v>43326</v>
      </c>
      <c r="U307" s="101">
        <f t="shared" ref="U307:AD307" si="506">+U305+U306</f>
        <v>46792</v>
      </c>
      <c r="V307" s="101">
        <f t="shared" si="506"/>
        <v>50536</v>
      </c>
      <c r="W307" s="101">
        <f t="shared" si="506"/>
        <v>54579</v>
      </c>
      <c r="X307" s="101">
        <f t="shared" si="506"/>
        <v>58946</v>
      </c>
      <c r="Y307" s="101">
        <f t="shared" si="506"/>
        <v>63662</v>
      </c>
      <c r="Z307" s="101">
        <f t="shared" si="506"/>
        <v>68755</v>
      </c>
      <c r="AA307" s="101">
        <f t="shared" si="506"/>
        <v>74255</v>
      </c>
      <c r="AB307" s="101">
        <f t="shared" si="506"/>
        <v>80195</v>
      </c>
      <c r="AC307" s="101">
        <f t="shared" si="506"/>
        <v>86611</v>
      </c>
      <c r="AD307" s="101">
        <f t="shared" si="506"/>
        <v>93540</v>
      </c>
      <c r="AE307" s="101">
        <f t="shared" ref="AE307" si="507">+AE305+AE306</f>
        <v>101023</v>
      </c>
      <c r="AF307" s="31"/>
    </row>
    <row r="308" spans="1:33" x14ac:dyDescent="0.35">
      <c r="A308" s="201"/>
      <c r="B308" s="104" t="str">
        <f t="shared" ref="B308:L308" si="508">IF(AND(B309=$AE$5,$O310=9),$AE$3,IF(AND(B309=$AF$5,$O310=9),$AF$3,IF(AND(B309=$AG$5,$O310=9),$AG$3,IF(AND(B309=$AH$5,$O310=9),$AH$3,IF(AND(B309=$AI$5,$O310=9),$AI$3,IF(AND(B309=$AJ$5,$O310=9),$AJ$3,IF(AND(B309=$AK$5,$O310=9),$AK$3,IF(AND(B309=$AL$5,$O310=9),$AL$3,IF(AND(B309=$AM$5,$O310=9),$AM$3,IF(AND(B309=$AN$5,$O310=9),$AN$3,IF(AND(B309=$AO$5,$O310=9),$AO$3,IF(AND(B309=$AP$5,$O310=9),$AJ$3,IF(AND(B309=$AE$4,$O310=12),$AE$3,IF(AND(B309=$AF$4,$O310=12),$AF$3,IF(AND(B309=$AG$4,$O310=12),$AG$3,IF(AND(B309=$AH$4,$O310=12),$AH$3,IF(AND(B309=$AI$4,$O310=12),$AI$3,IF(AND(B309=$AJ$4,$O310=12),$AJ$3,IF(AND(B309=$AK$4,$O310=12),$AK$3,IF(AND(B309=$AL$4,$O310=12),$AL$3,IF(AND(B309=$AM$4,$O310=12),$AM$3,IF(AND(B309=$AN$4,$O310=12),$AN$3,IF(AND(B309=$AO$4,$O310=12),$AO$3,IF(AND(B309=$AP$4,$O310=12),$AJ$3," "))))))))))))))))))))))))</f>
        <v xml:space="preserve"> </v>
      </c>
      <c r="C308" s="104" t="str">
        <f t="shared" si="508"/>
        <v>Year 1</v>
      </c>
      <c r="D308" s="104" t="str">
        <f t="shared" si="508"/>
        <v>Year 2</v>
      </c>
      <c r="E308" s="104" t="str">
        <f t="shared" si="508"/>
        <v>Year 3</v>
      </c>
      <c r="F308" s="104" t="str">
        <f t="shared" si="508"/>
        <v>Year 4</v>
      </c>
      <c r="G308" s="104" t="str">
        <f t="shared" si="508"/>
        <v>Year 5</v>
      </c>
      <c r="H308" s="104" t="str">
        <f t="shared" si="508"/>
        <v>Year 6</v>
      </c>
      <c r="I308" s="104" t="str">
        <f t="shared" si="508"/>
        <v>Year 7</v>
      </c>
      <c r="J308" s="104" t="str">
        <f t="shared" si="508"/>
        <v>Year 8</v>
      </c>
      <c r="K308" s="104" t="str">
        <f t="shared" si="508"/>
        <v>Year 9</v>
      </c>
      <c r="L308" s="104" t="str">
        <f t="shared" si="508"/>
        <v>Year 10</v>
      </c>
      <c r="M308" s="104" t="str">
        <f t="shared" ref="M308" si="509">IF(AND(M309=$AE$5,$O310=9),$AE$3,IF(AND(M309=$AF$5,$O310=9),$AF$3,IF(AND(M309=$AG$5,$O310=9),$AG$3,IF(AND(M309=$AH$5,$O310=9),$AH$3,IF(AND(M309=$AI$5,$O310=9),$AI$3,IF(AND(M309=$AJ$5,$O310=9),$AJ$3,IF(AND(M309=$AK$5,$O310=9),$AK$3,IF(AND(M309=$AL$5,$O310=9),$AL$3,IF(AND(M309=$AM$5,$O310=9),$AM$3,IF(AND(M309=$AN$5,$O310=9),$AN$3,IF(AND(M309=$AO$5,$O310=9),$AO$3,IF(AND(M309=$AP$5,$O310=9),$AJ$3,IF(AND(M309=$AE$4,$O310=12),$AE$3,IF(AND(M309=$AF$4,$O310=12),$AF$3,IF(AND(M309=$AG$4,$O310=12),$AG$3,IF(AND(M309=$AH$4,$O310=12),$AH$3,IF(AND(M309=$AI$4,$O310=12),$AI$3,IF(AND(M309=$AJ$4,$O310=12),$AJ$3,IF(AND(M309=$AK$4,$O310=12),$AK$3,IF(AND(M309=$AL$4,$O310=12),$AL$3,IF(AND(M309=$AM$4,$O310=12),$AM$3,IF(AND(M309=$AN$4,$O310=12),$AN$3,IF(AND(M309=$AO$4,$O310=12),$AO$3,IF(AND(M309=$AP$4,$O310=12),$AJ$3," "))))))))))))))))))))))))</f>
        <v>Year 11</v>
      </c>
      <c r="N308" s="104"/>
      <c r="O308" s="89"/>
      <c r="P308" s="89"/>
      <c r="Q308" s="204"/>
      <c r="R308" s="30" t="s">
        <v>8</v>
      </c>
      <c r="S308" s="101">
        <f>IF(B268="Contract College",$P$28,$P$29)</f>
        <v>14750</v>
      </c>
      <c r="T308" s="101">
        <f t="shared" ref="T308:AE308" si="510">ROUND(S308*(1+$AF308),0)</f>
        <v>14750</v>
      </c>
      <c r="U308" s="101">
        <f t="shared" si="510"/>
        <v>14750</v>
      </c>
      <c r="V308" s="101">
        <f t="shared" si="510"/>
        <v>14750</v>
      </c>
      <c r="W308" s="101">
        <f t="shared" si="510"/>
        <v>14750</v>
      </c>
      <c r="X308" s="101">
        <f t="shared" si="510"/>
        <v>14750</v>
      </c>
      <c r="Y308" s="101">
        <f t="shared" si="510"/>
        <v>14750</v>
      </c>
      <c r="Z308" s="101">
        <f t="shared" si="510"/>
        <v>14750</v>
      </c>
      <c r="AA308" s="101">
        <f t="shared" si="510"/>
        <v>14750</v>
      </c>
      <c r="AB308" s="101">
        <f t="shared" si="510"/>
        <v>14750</v>
      </c>
      <c r="AC308" s="101">
        <f t="shared" si="510"/>
        <v>14750</v>
      </c>
      <c r="AD308" s="101">
        <f t="shared" si="510"/>
        <v>14750</v>
      </c>
      <c r="AE308" s="101">
        <f t="shared" si="510"/>
        <v>14750</v>
      </c>
      <c r="AF308" s="31">
        <v>0</v>
      </c>
      <c r="AG308" t="s">
        <v>212</v>
      </c>
    </row>
    <row r="309" spans="1:33" x14ac:dyDescent="0.35">
      <c r="A309" s="200" t="s">
        <v>102</v>
      </c>
      <c r="B309" s="55" t="str">
        <f t="shared" ref="B309:I309" si="511">+N$2</f>
        <v>FY2023</v>
      </c>
      <c r="C309" s="55" t="str">
        <f t="shared" si="511"/>
        <v>FY2024</v>
      </c>
      <c r="D309" s="55" t="str">
        <f t="shared" si="511"/>
        <v>FY2025</v>
      </c>
      <c r="E309" s="55" t="str">
        <f t="shared" si="511"/>
        <v>FY2026</v>
      </c>
      <c r="F309" s="55" t="str">
        <f t="shared" si="511"/>
        <v>FY2027</v>
      </c>
      <c r="G309" s="55" t="str">
        <f t="shared" si="511"/>
        <v>FY2028</v>
      </c>
      <c r="H309" s="55" t="str">
        <f t="shared" si="511"/>
        <v>FY2029</v>
      </c>
      <c r="I309" s="55" t="str">
        <f t="shared" si="511"/>
        <v>FY2030</v>
      </c>
      <c r="J309" s="55" t="str">
        <f t="shared" ref="J309" si="512">+V$2</f>
        <v>FY2031</v>
      </c>
      <c r="K309" s="55" t="str">
        <f t="shared" ref="K309:M309" si="513">+W$2</f>
        <v>FY2032</v>
      </c>
      <c r="L309" s="55" t="str">
        <f t="shared" si="513"/>
        <v>FY2033</v>
      </c>
      <c r="M309" s="55" t="str">
        <f t="shared" si="513"/>
        <v>FY2034</v>
      </c>
      <c r="N309" s="55"/>
      <c r="O309" s="32" t="s">
        <v>20</v>
      </c>
      <c r="P309" s="89" t="s">
        <v>64</v>
      </c>
      <c r="Q309" s="204"/>
      <c r="R309" s="30" t="s">
        <v>24</v>
      </c>
      <c r="S309" s="101">
        <f>+$P$30</f>
        <v>4046</v>
      </c>
      <c r="T309" s="101">
        <f>IF(ROUND(S309*(1+$AF309),0)=$Q$30,ROUND(S309*(1+$AF309),0),$Q$30)</f>
        <v>4451</v>
      </c>
      <c r="U309" s="101">
        <f t="shared" ref="U309:AE309" si="514">ROUND(T309*(1+$AF309),0)</f>
        <v>4896</v>
      </c>
      <c r="V309" s="101">
        <f t="shared" si="514"/>
        <v>5386</v>
      </c>
      <c r="W309" s="101">
        <f t="shared" si="514"/>
        <v>5925</v>
      </c>
      <c r="X309" s="101">
        <f t="shared" si="514"/>
        <v>6518</v>
      </c>
      <c r="Y309" s="101">
        <f t="shared" si="514"/>
        <v>7170</v>
      </c>
      <c r="Z309" s="101">
        <f t="shared" si="514"/>
        <v>7887</v>
      </c>
      <c r="AA309" s="101">
        <f t="shared" si="514"/>
        <v>8676</v>
      </c>
      <c r="AB309" s="101">
        <f t="shared" si="514"/>
        <v>9544</v>
      </c>
      <c r="AC309" s="101">
        <f t="shared" si="514"/>
        <v>10498</v>
      </c>
      <c r="AD309" s="101">
        <f t="shared" si="514"/>
        <v>11548</v>
      </c>
      <c r="AE309" s="101">
        <f t="shared" si="514"/>
        <v>12703</v>
      </c>
      <c r="AF309" s="31">
        <v>0.1</v>
      </c>
    </row>
    <row r="310" spans="1:33" x14ac:dyDescent="0.35">
      <c r="A310" s="201" t="str">
        <f>CONCATENATE("Base Salary: ",O310," month term")</f>
        <v>Base Salary: 12 month term</v>
      </c>
      <c r="B310" s="62">
        <f>PostdocMinRate</f>
        <v>56484</v>
      </c>
      <c r="C310" s="109">
        <f t="shared" ref="C310:M310" si="515">ROUND(+B310*(1+$P$310),0)</f>
        <v>58179</v>
      </c>
      <c r="D310" s="109">
        <f t="shared" si="515"/>
        <v>59924</v>
      </c>
      <c r="E310" s="109">
        <f t="shared" si="515"/>
        <v>61722</v>
      </c>
      <c r="F310" s="109">
        <f t="shared" si="515"/>
        <v>63574</v>
      </c>
      <c r="G310" s="109">
        <f t="shared" si="515"/>
        <v>65481</v>
      </c>
      <c r="H310" s="109">
        <f t="shared" si="515"/>
        <v>67445</v>
      </c>
      <c r="I310" s="109">
        <f t="shared" si="515"/>
        <v>69468</v>
      </c>
      <c r="J310" s="109">
        <f t="shared" si="515"/>
        <v>71552</v>
      </c>
      <c r="K310" s="109">
        <f t="shared" si="515"/>
        <v>73699</v>
      </c>
      <c r="L310" s="109">
        <f t="shared" si="515"/>
        <v>75910</v>
      </c>
      <c r="M310" s="109">
        <f t="shared" si="515"/>
        <v>78187</v>
      </c>
      <c r="N310" s="109"/>
      <c r="O310" s="319">
        <v>12</v>
      </c>
      <c r="P310" s="320">
        <v>0.03</v>
      </c>
      <c r="Q310" s="204"/>
      <c r="Y310" s="23"/>
    </row>
    <row r="311" spans="1:33" x14ac:dyDescent="0.35">
      <c r="A311" s="201" t="s">
        <v>44</v>
      </c>
      <c r="B311" s="313">
        <v>0</v>
      </c>
      <c r="C311" s="313">
        <v>0</v>
      </c>
      <c r="D311" s="313">
        <v>0</v>
      </c>
      <c r="E311" s="313">
        <v>0</v>
      </c>
      <c r="F311" s="313">
        <v>0</v>
      </c>
      <c r="G311" s="313">
        <v>0</v>
      </c>
      <c r="H311" s="313">
        <v>0</v>
      </c>
      <c r="I311" s="313">
        <v>0</v>
      </c>
      <c r="J311" s="313">
        <v>0</v>
      </c>
      <c r="K311" s="313">
        <v>0</v>
      </c>
      <c r="L311" s="313">
        <v>0</v>
      </c>
      <c r="M311" s="313">
        <v>0</v>
      </c>
      <c r="N311" s="402"/>
      <c r="O311" s="25"/>
      <c r="P311" s="25"/>
      <c r="Q311" s="204"/>
      <c r="Y311" s="23"/>
    </row>
    <row r="312" spans="1:33" x14ac:dyDescent="0.35">
      <c r="A312" s="201" t="str">
        <f>CONCATENATE("FTE for ",O310," Months")</f>
        <v>FTE for 12 Months</v>
      </c>
      <c r="B312" s="395">
        <f t="shared" ref="B312:L312" si="516">+B311/$O310</f>
        <v>0</v>
      </c>
      <c r="C312" s="395">
        <f t="shared" si="516"/>
        <v>0</v>
      </c>
      <c r="D312" s="395">
        <f t="shared" si="516"/>
        <v>0</v>
      </c>
      <c r="E312" s="395">
        <f t="shared" si="516"/>
        <v>0</v>
      </c>
      <c r="F312" s="395">
        <f t="shared" si="516"/>
        <v>0</v>
      </c>
      <c r="G312" s="395">
        <f t="shared" si="516"/>
        <v>0</v>
      </c>
      <c r="H312" s="395">
        <f t="shared" si="516"/>
        <v>0</v>
      </c>
      <c r="I312" s="395">
        <f t="shared" si="516"/>
        <v>0</v>
      </c>
      <c r="J312" s="395">
        <f t="shared" si="516"/>
        <v>0</v>
      </c>
      <c r="K312" s="395">
        <f t="shared" si="516"/>
        <v>0</v>
      </c>
      <c r="L312" s="395">
        <f t="shared" si="516"/>
        <v>0</v>
      </c>
      <c r="M312" s="395">
        <f t="shared" ref="M312" si="517">+M311/$O310</f>
        <v>0</v>
      </c>
      <c r="N312" s="403"/>
      <c r="O312" s="89"/>
      <c r="P312" s="89"/>
      <c r="Q312" s="204"/>
      <c r="S312" s="53" t="str">
        <f t="shared" ref="S312:AC312" si="518">+S231</f>
        <v>Fall 2023</v>
      </c>
      <c r="T312" s="53" t="str">
        <f t="shared" si="518"/>
        <v>Fall 2024</v>
      </c>
      <c r="U312" s="53" t="str">
        <f t="shared" si="518"/>
        <v>Fall 2025</v>
      </c>
      <c r="V312" s="53" t="str">
        <f t="shared" si="518"/>
        <v>Fall 2026</v>
      </c>
      <c r="W312" s="53" t="str">
        <f t="shared" si="518"/>
        <v>Fall 2027</v>
      </c>
      <c r="X312" s="53" t="str">
        <f t="shared" si="518"/>
        <v>Fall 2028</v>
      </c>
      <c r="Y312" s="53" t="str">
        <f t="shared" si="518"/>
        <v>Fall 2029</v>
      </c>
      <c r="Z312" s="53" t="str">
        <f t="shared" si="518"/>
        <v>Fall 2030</v>
      </c>
      <c r="AA312" s="53" t="str">
        <f t="shared" si="518"/>
        <v>Fall 2031</v>
      </c>
      <c r="AB312" s="53" t="str">
        <f t="shared" si="518"/>
        <v>Fall 2032</v>
      </c>
      <c r="AC312" s="53" t="str">
        <f t="shared" si="518"/>
        <v>Fall 2033</v>
      </c>
      <c r="AD312" s="53" t="str">
        <f t="shared" ref="AD312" si="519">+AD231</f>
        <v>Fall 2034</v>
      </c>
    </row>
    <row r="313" spans="1:33" x14ac:dyDescent="0.35">
      <c r="A313" s="201" t="s">
        <v>21</v>
      </c>
      <c r="B313" s="110">
        <f t="shared" ref="B313:K313" si="520">ROUND((B310*B312*$Q$35)+(C310*B312*$Q$36),0)</f>
        <v>0</v>
      </c>
      <c r="C313" s="110">
        <f t="shared" si="520"/>
        <v>0</v>
      </c>
      <c r="D313" s="110">
        <f t="shared" si="520"/>
        <v>0</v>
      </c>
      <c r="E313" s="110">
        <f t="shared" si="520"/>
        <v>0</v>
      </c>
      <c r="F313" s="110">
        <f t="shared" si="520"/>
        <v>0</v>
      </c>
      <c r="G313" s="110">
        <f t="shared" si="520"/>
        <v>0</v>
      </c>
      <c r="H313" s="110">
        <f t="shared" si="520"/>
        <v>0</v>
      </c>
      <c r="I313" s="110">
        <f t="shared" si="520"/>
        <v>0</v>
      </c>
      <c r="J313" s="110">
        <f t="shared" si="520"/>
        <v>0</v>
      </c>
      <c r="K313" s="110">
        <f t="shared" si="520"/>
        <v>0</v>
      </c>
      <c r="L313" s="110">
        <f>ROUND((L310*L312*$Q$35)+(N310*L312*$Q$36),0)</f>
        <v>0</v>
      </c>
      <c r="M313" s="110">
        <f>ROUND((M310*M312*$Q$35)+(O310*M312*$Q$36),0)</f>
        <v>0</v>
      </c>
      <c r="N313" s="404"/>
      <c r="O313" s="89"/>
      <c r="P313" s="89"/>
      <c r="Q313" s="204"/>
      <c r="S313" s="53" t="str">
        <f t="shared" ref="S313:AC313" si="521">+S232</f>
        <v>Spring 2024</v>
      </c>
      <c r="T313" s="53" t="str">
        <f t="shared" si="521"/>
        <v>Spring 2025</v>
      </c>
      <c r="U313" s="53" t="str">
        <f t="shared" si="521"/>
        <v>Spring 2026</v>
      </c>
      <c r="V313" s="53" t="str">
        <f t="shared" si="521"/>
        <v>Spring 2027</v>
      </c>
      <c r="W313" s="53" t="str">
        <f t="shared" si="521"/>
        <v>Spring 2028</v>
      </c>
      <c r="X313" s="53" t="str">
        <f t="shared" si="521"/>
        <v>Spring 2029</v>
      </c>
      <c r="Y313" s="53" t="str">
        <f t="shared" si="521"/>
        <v>Spring 2030</v>
      </c>
      <c r="Z313" s="53" t="str">
        <f t="shared" si="521"/>
        <v>Spring 2031</v>
      </c>
      <c r="AA313" s="53" t="str">
        <f t="shared" si="521"/>
        <v>Spring 2032</v>
      </c>
      <c r="AB313" s="53" t="str">
        <f t="shared" si="521"/>
        <v>Spring 2033</v>
      </c>
      <c r="AC313" s="53" t="str">
        <f t="shared" si="521"/>
        <v>Spring 2034</v>
      </c>
      <c r="AD313" s="53" t="str">
        <f t="shared" ref="AD313" si="522">+AD232</f>
        <v>Spring 2035</v>
      </c>
    </row>
    <row r="314" spans="1:33" x14ac:dyDescent="0.35">
      <c r="A314" s="201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6"/>
      <c r="P314" s="26"/>
      <c r="Q314" s="205"/>
      <c r="S314" s="53" t="str">
        <f t="shared" ref="S314:AC314" si="523">+S233</f>
        <v>Summer 2024</v>
      </c>
      <c r="T314" s="53" t="str">
        <f t="shared" si="523"/>
        <v>Summer 2025</v>
      </c>
      <c r="U314" s="53" t="str">
        <f t="shared" si="523"/>
        <v>Summer 2026</v>
      </c>
      <c r="V314" s="53" t="str">
        <f t="shared" si="523"/>
        <v>Summer 2027</v>
      </c>
      <c r="W314" s="53" t="str">
        <f t="shared" si="523"/>
        <v>Summer 2028</v>
      </c>
      <c r="X314" s="53" t="str">
        <f t="shared" si="523"/>
        <v>Summer 2029</v>
      </c>
      <c r="Y314" s="53" t="str">
        <f t="shared" si="523"/>
        <v>Summer 2030</v>
      </c>
      <c r="Z314" s="53" t="str">
        <f t="shared" si="523"/>
        <v>Summer 2031</v>
      </c>
      <c r="AA314" s="53" t="str">
        <f t="shared" si="523"/>
        <v>Summer 2032</v>
      </c>
      <c r="AB314" s="53" t="str">
        <f t="shared" si="523"/>
        <v>Summer 2033</v>
      </c>
      <c r="AC314" s="53" t="str">
        <f t="shared" si="523"/>
        <v>Summer 2034</v>
      </c>
      <c r="AD314" s="53" t="str">
        <f t="shared" ref="AD314" si="524">+AD233</f>
        <v>Summer 2035</v>
      </c>
    </row>
    <row r="315" spans="1:33" x14ac:dyDescent="0.35">
      <c r="A315" s="201"/>
      <c r="B315" s="104" t="str">
        <f t="shared" ref="B315:L315" si="525">IF(AND(B316=$AE$5,$O317=9),$AE$3,IF(AND(B316=$AF$5,$O317=9),$AF$3,IF(AND(B316=$AG$5,$O317=9),$AG$3,IF(AND(B316=$AH$5,$O317=9),$AH$3,IF(AND(B316=$AI$5,$O317=9),$AI$3,IF(AND(B316=$AJ$5,$O317=9),$AJ$3,IF(AND(B316=$AK$5,$O317=9),$AK$3,IF(AND(B316=$AL$5,$O317=9),$AL$3,IF(AND(B316=$AM$5,$O317=9),$AM$3,IF(AND(B316=$AN$5,$O317=9),$AN$3,IF(AND(B316=$AO$5,$O317=9),$AO$3,IF(AND(B316=$AP$5,$O317=9),$AJ$3,IF(AND(B316=$AE$4,$O317=12),$AE$3,IF(AND(B316=$AF$4,$O317=12),$AF$3,IF(AND(B316=$AG$4,$O317=12),$AG$3,IF(AND(B316=$AH$4,$O317=12),$AH$3,IF(AND(B316=$AI$4,$O317=12),$AI$3,IF(AND(B316=$AJ$4,$O317=12),$AJ$3,IF(AND(B316=$AK$4,$O317=12),$AK$3,IF(AND(B316=$AL$4,$O317=12),$AL$3,IF(AND(B316=$AM$4,$O317=12),$AM$3,IF(AND(B316=$AN$4,$O317=12),$AN$3,IF(AND(B316=$AO$4,$O317=12),$AO$3,IF(AND(B316=$AP$4,$O317=12),$AJ$3," "))))))))))))))))))))))))</f>
        <v xml:space="preserve"> </v>
      </c>
      <c r="C315" s="104" t="str">
        <f t="shared" si="525"/>
        <v>Year 1</v>
      </c>
      <c r="D315" s="104" t="str">
        <f t="shared" si="525"/>
        <v>Year 2</v>
      </c>
      <c r="E315" s="104" t="str">
        <f t="shared" si="525"/>
        <v>Year 3</v>
      </c>
      <c r="F315" s="104" t="str">
        <f t="shared" si="525"/>
        <v>Year 4</v>
      </c>
      <c r="G315" s="104" t="str">
        <f t="shared" si="525"/>
        <v>Year 5</v>
      </c>
      <c r="H315" s="104" t="str">
        <f t="shared" si="525"/>
        <v>Year 6</v>
      </c>
      <c r="I315" s="104" t="str">
        <f t="shared" si="525"/>
        <v>Year 7</v>
      </c>
      <c r="J315" s="104" t="str">
        <f t="shared" si="525"/>
        <v>Year 8</v>
      </c>
      <c r="K315" s="104" t="str">
        <f t="shared" si="525"/>
        <v>Year 9</v>
      </c>
      <c r="L315" s="104" t="str">
        <f t="shared" si="525"/>
        <v>Year 10</v>
      </c>
      <c r="M315" s="104" t="str">
        <f t="shared" ref="M315" si="526">IF(AND(M316=$AE$5,$O317=9),$AE$3,IF(AND(M316=$AF$5,$O317=9),$AF$3,IF(AND(M316=$AG$5,$O317=9),$AG$3,IF(AND(M316=$AH$5,$O317=9),$AH$3,IF(AND(M316=$AI$5,$O317=9),$AI$3,IF(AND(M316=$AJ$5,$O317=9),$AJ$3,IF(AND(M316=$AK$5,$O317=9),$AK$3,IF(AND(M316=$AL$5,$O317=9),$AL$3,IF(AND(M316=$AM$5,$O317=9),$AM$3,IF(AND(M316=$AN$5,$O317=9),$AN$3,IF(AND(M316=$AO$5,$O317=9),$AO$3,IF(AND(M316=$AP$5,$O317=9),$AJ$3,IF(AND(M316=$AE$4,$O317=12),$AE$3,IF(AND(M316=$AF$4,$O317=12),$AF$3,IF(AND(M316=$AG$4,$O317=12),$AG$3,IF(AND(M316=$AH$4,$O317=12),$AH$3,IF(AND(M316=$AI$4,$O317=12),$AI$3,IF(AND(M316=$AJ$4,$O317=12),$AJ$3,IF(AND(M316=$AK$4,$O317=12),$AK$3,IF(AND(M316=$AL$4,$O317=12),$AL$3,IF(AND(M316=$AM$4,$O317=12),$AM$3,IF(AND(M316=$AN$4,$O317=12),$AN$3,IF(AND(M316=$AO$4,$O317=12),$AO$3,IF(AND(M316=$AP$4,$O317=12),$AJ$3," "))))))))))))))))))))))))</f>
        <v>Year 11</v>
      </c>
      <c r="N315" s="104"/>
      <c r="O315" s="26"/>
      <c r="P315" s="26"/>
      <c r="Q315" s="205"/>
      <c r="S315" s="34" t="str">
        <f t="shared" ref="S315:AC315" si="527">+S234</f>
        <v>FY2024</v>
      </c>
      <c r="T315" s="34" t="str">
        <f t="shared" si="527"/>
        <v>FY2025</v>
      </c>
      <c r="U315" s="34" t="str">
        <f t="shared" si="527"/>
        <v>FY2026</v>
      </c>
      <c r="V315" s="34" t="str">
        <f t="shared" si="527"/>
        <v>FY2027</v>
      </c>
      <c r="W315" s="34" t="str">
        <f t="shared" si="527"/>
        <v>FY2028</v>
      </c>
      <c r="X315" s="34" t="str">
        <f t="shared" si="527"/>
        <v>FY2029</v>
      </c>
      <c r="Y315" s="34" t="str">
        <f t="shared" si="527"/>
        <v>FY2030</v>
      </c>
      <c r="Z315" s="34" t="str">
        <f t="shared" si="527"/>
        <v>FY2031</v>
      </c>
      <c r="AA315" s="34" t="str">
        <f t="shared" si="527"/>
        <v>FY2032</v>
      </c>
      <c r="AB315" s="34" t="str">
        <f t="shared" si="527"/>
        <v>FY2033</v>
      </c>
      <c r="AC315" s="34" t="str">
        <f t="shared" si="527"/>
        <v>FY2034</v>
      </c>
      <c r="AD315" s="34" t="str">
        <f t="shared" ref="AD315" si="528">+AD234</f>
        <v>FY2035</v>
      </c>
    </row>
    <row r="316" spans="1:33" ht="15" thickBot="1" x14ac:dyDescent="0.4">
      <c r="A316" s="200" t="s">
        <v>74</v>
      </c>
      <c r="B316" s="55" t="str">
        <f t="shared" ref="B316:I316" si="529">+N$2</f>
        <v>FY2023</v>
      </c>
      <c r="C316" s="55" t="str">
        <f t="shared" si="529"/>
        <v>FY2024</v>
      </c>
      <c r="D316" s="55" t="str">
        <f t="shared" si="529"/>
        <v>FY2025</v>
      </c>
      <c r="E316" s="55" t="str">
        <f t="shared" si="529"/>
        <v>FY2026</v>
      </c>
      <c r="F316" s="55" t="str">
        <f t="shared" si="529"/>
        <v>FY2027</v>
      </c>
      <c r="G316" s="55" t="str">
        <f t="shared" si="529"/>
        <v>FY2028</v>
      </c>
      <c r="H316" s="55" t="str">
        <f t="shared" si="529"/>
        <v>FY2029</v>
      </c>
      <c r="I316" s="55" t="str">
        <f t="shared" si="529"/>
        <v>FY2030</v>
      </c>
      <c r="J316" s="55" t="str">
        <f t="shared" ref="J316" si="530">+V$2</f>
        <v>FY2031</v>
      </c>
      <c r="K316" s="55" t="str">
        <f t="shared" ref="K316:M316" si="531">+W$2</f>
        <v>FY2032</v>
      </c>
      <c r="L316" s="55" t="str">
        <f t="shared" si="531"/>
        <v>FY2033</v>
      </c>
      <c r="M316" s="55" t="str">
        <f t="shared" si="531"/>
        <v>FY2034</v>
      </c>
      <c r="N316" s="55"/>
      <c r="O316" s="32" t="s">
        <v>20</v>
      </c>
      <c r="P316" s="89" t="s">
        <v>64</v>
      </c>
      <c r="Q316" s="204"/>
      <c r="R316" s="35" t="s">
        <v>71</v>
      </c>
      <c r="S316" s="50" t="s">
        <v>1</v>
      </c>
      <c r="T316" s="51" t="s">
        <v>2</v>
      </c>
      <c r="U316" s="51" t="s">
        <v>3</v>
      </c>
      <c r="V316" s="51" t="s">
        <v>39</v>
      </c>
      <c r="W316" s="51" t="s">
        <v>45</v>
      </c>
      <c r="X316" s="51" t="s">
        <v>185</v>
      </c>
      <c r="Y316" s="51" t="s">
        <v>186</v>
      </c>
      <c r="Z316" s="51" t="s">
        <v>187</v>
      </c>
      <c r="AA316" s="51" t="s">
        <v>188</v>
      </c>
      <c r="AB316" s="51" t="s">
        <v>189</v>
      </c>
      <c r="AC316" s="51" t="s">
        <v>190</v>
      </c>
      <c r="AD316" s="51" t="s">
        <v>191</v>
      </c>
    </row>
    <row r="317" spans="1:33" x14ac:dyDescent="0.35">
      <c r="A317" s="201" t="str">
        <f>CONCATENATE("Base Salary: ",O317," month term")</f>
        <v>Base Salary: 12 month term</v>
      </c>
      <c r="B317" s="314">
        <v>47476</v>
      </c>
      <c r="C317" s="109">
        <f t="shared" ref="C317:M317" si="532">ROUND(+B317*(1+$P$317),0)</f>
        <v>48900</v>
      </c>
      <c r="D317" s="109">
        <f t="shared" si="532"/>
        <v>50367</v>
      </c>
      <c r="E317" s="109">
        <f t="shared" si="532"/>
        <v>51878</v>
      </c>
      <c r="F317" s="109">
        <f t="shared" si="532"/>
        <v>53434</v>
      </c>
      <c r="G317" s="109">
        <f t="shared" si="532"/>
        <v>55037</v>
      </c>
      <c r="H317" s="109">
        <f t="shared" si="532"/>
        <v>56688</v>
      </c>
      <c r="I317" s="109">
        <f t="shared" si="532"/>
        <v>58389</v>
      </c>
      <c r="J317" s="109">
        <f t="shared" si="532"/>
        <v>60141</v>
      </c>
      <c r="K317" s="109">
        <f t="shared" si="532"/>
        <v>61945</v>
      </c>
      <c r="L317" s="109">
        <f t="shared" si="532"/>
        <v>63803</v>
      </c>
      <c r="M317" s="109">
        <f t="shared" si="532"/>
        <v>65717</v>
      </c>
      <c r="N317" s="109"/>
      <c r="O317" s="319">
        <v>12</v>
      </c>
      <c r="P317" s="312">
        <v>0.03</v>
      </c>
      <c r="Q317" s="206"/>
      <c r="R317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317" s="60">
        <f t="shared" ref="S317:X319" si="533">+B323</f>
        <v>0</v>
      </c>
      <c r="T317" s="60">
        <f t="shared" si="533"/>
        <v>0</v>
      </c>
      <c r="U317" s="60">
        <f t="shared" si="533"/>
        <v>0</v>
      </c>
      <c r="V317" s="60">
        <f t="shared" si="533"/>
        <v>0</v>
      </c>
      <c r="W317" s="60">
        <f t="shared" si="533"/>
        <v>0</v>
      </c>
      <c r="X317" s="60">
        <f t="shared" si="533"/>
        <v>0</v>
      </c>
      <c r="Y317" s="60">
        <f t="shared" ref="Y317:Y319" si="534">+H323</f>
        <v>0</v>
      </c>
      <c r="Z317" s="60">
        <f t="shared" ref="Z317:Z319" si="535">+I323</f>
        <v>0</v>
      </c>
      <c r="AA317" s="60">
        <f t="shared" ref="AA317:AA319" si="536">+J323</f>
        <v>0</v>
      </c>
      <c r="AB317" s="60">
        <f t="shared" ref="AB317:AB319" si="537">+K323</f>
        <v>0</v>
      </c>
      <c r="AC317" s="60">
        <f t="shared" ref="AC317:AD319" si="538">+L323</f>
        <v>0</v>
      </c>
      <c r="AD317" s="60">
        <f t="shared" si="538"/>
        <v>0</v>
      </c>
    </row>
    <row r="318" spans="1:33" x14ac:dyDescent="0.35">
      <c r="A318" s="201" t="s">
        <v>44</v>
      </c>
      <c r="B318" s="313">
        <v>0</v>
      </c>
      <c r="C318" s="313">
        <v>0</v>
      </c>
      <c r="D318" s="313">
        <v>0</v>
      </c>
      <c r="E318" s="313">
        <v>0</v>
      </c>
      <c r="F318" s="313">
        <v>0</v>
      </c>
      <c r="G318" s="313">
        <v>0</v>
      </c>
      <c r="H318" s="313">
        <v>0</v>
      </c>
      <c r="I318" s="313">
        <v>0</v>
      </c>
      <c r="J318" s="313">
        <v>0</v>
      </c>
      <c r="K318" s="313">
        <v>0</v>
      </c>
      <c r="L318" s="313">
        <v>0</v>
      </c>
      <c r="M318" s="313">
        <v>0</v>
      </c>
      <c r="N318" s="402"/>
      <c r="O318" s="25"/>
      <c r="P318" s="25"/>
      <c r="Q318" s="201"/>
      <c r="R318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318" s="60">
        <f t="shared" si="533"/>
        <v>0</v>
      </c>
      <c r="T318" s="60">
        <f t="shared" si="533"/>
        <v>0</v>
      </c>
      <c r="U318" s="60">
        <f t="shared" si="533"/>
        <v>0</v>
      </c>
      <c r="V318" s="60">
        <f t="shared" si="533"/>
        <v>0</v>
      </c>
      <c r="W318" s="60">
        <f t="shared" si="533"/>
        <v>0</v>
      </c>
      <c r="X318" s="60">
        <f t="shared" si="533"/>
        <v>0</v>
      </c>
      <c r="Y318" s="60">
        <f t="shared" si="534"/>
        <v>0</v>
      </c>
      <c r="Z318" s="60">
        <f t="shared" si="535"/>
        <v>0</v>
      </c>
      <c r="AA318" s="60">
        <f t="shared" si="536"/>
        <v>0</v>
      </c>
      <c r="AB318" s="60">
        <f t="shared" si="537"/>
        <v>0</v>
      </c>
      <c r="AC318" s="60">
        <f t="shared" si="538"/>
        <v>0</v>
      </c>
      <c r="AD318" s="60">
        <f t="shared" si="538"/>
        <v>0</v>
      </c>
    </row>
    <row r="319" spans="1:33" x14ac:dyDescent="0.35">
      <c r="A319" s="201" t="str">
        <f>CONCATENATE("FTE for ",O317," Months")</f>
        <v>FTE for 12 Months</v>
      </c>
      <c r="B319" s="395">
        <f t="shared" ref="B319:L319" si="539">+B318/$O317</f>
        <v>0</v>
      </c>
      <c r="C319" s="395">
        <f t="shared" si="539"/>
        <v>0</v>
      </c>
      <c r="D319" s="395">
        <f t="shared" si="539"/>
        <v>0</v>
      </c>
      <c r="E319" s="395">
        <f t="shared" si="539"/>
        <v>0</v>
      </c>
      <c r="F319" s="395">
        <f t="shared" si="539"/>
        <v>0</v>
      </c>
      <c r="G319" s="395">
        <f t="shared" si="539"/>
        <v>0</v>
      </c>
      <c r="H319" s="395">
        <f t="shared" si="539"/>
        <v>0</v>
      </c>
      <c r="I319" s="395">
        <f t="shared" si="539"/>
        <v>0</v>
      </c>
      <c r="J319" s="395">
        <f t="shared" si="539"/>
        <v>0</v>
      </c>
      <c r="K319" s="395">
        <f t="shared" si="539"/>
        <v>0</v>
      </c>
      <c r="L319" s="395">
        <f t="shared" si="539"/>
        <v>0</v>
      </c>
      <c r="M319" s="395">
        <f t="shared" ref="M319" si="540">+M318/$O317</f>
        <v>0</v>
      </c>
      <c r="N319" s="403"/>
      <c r="O319" s="89"/>
      <c r="P319" s="89"/>
      <c r="Q319" s="204"/>
      <c r="R319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319" s="60">
        <f t="shared" si="533"/>
        <v>0</v>
      </c>
      <c r="T319" s="60">
        <f t="shared" si="533"/>
        <v>0</v>
      </c>
      <c r="U319" s="60">
        <f t="shared" si="533"/>
        <v>0</v>
      </c>
      <c r="V319" s="60">
        <f t="shared" si="533"/>
        <v>0</v>
      </c>
      <c r="W319" s="60">
        <f t="shared" si="533"/>
        <v>0</v>
      </c>
      <c r="X319" s="60">
        <f t="shared" si="533"/>
        <v>0</v>
      </c>
      <c r="Y319" s="60">
        <f t="shared" si="534"/>
        <v>0</v>
      </c>
      <c r="Z319" s="60">
        <f t="shared" si="535"/>
        <v>0</v>
      </c>
      <c r="AA319" s="60">
        <f t="shared" si="536"/>
        <v>0</v>
      </c>
      <c r="AB319" s="60">
        <f t="shared" si="537"/>
        <v>0</v>
      </c>
      <c r="AC319" s="60">
        <f t="shared" si="538"/>
        <v>0</v>
      </c>
      <c r="AD319" s="60">
        <f t="shared" si="538"/>
        <v>0</v>
      </c>
    </row>
    <row r="320" spans="1:33" x14ac:dyDescent="0.35">
      <c r="A320" s="201" t="s">
        <v>21</v>
      </c>
      <c r="B320" s="110">
        <f t="shared" ref="B320:K320" si="541">ROUND((B317*B319*$Q$35)+(C317*B319*$Q$36),0)</f>
        <v>0</v>
      </c>
      <c r="C320" s="110">
        <f t="shared" si="541"/>
        <v>0</v>
      </c>
      <c r="D320" s="110">
        <f t="shared" si="541"/>
        <v>0</v>
      </c>
      <c r="E320" s="110">
        <f t="shared" si="541"/>
        <v>0</v>
      </c>
      <c r="F320" s="110">
        <f t="shared" si="541"/>
        <v>0</v>
      </c>
      <c r="G320" s="110">
        <f t="shared" si="541"/>
        <v>0</v>
      </c>
      <c r="H320" s="110">
        <f t="shared" si="541"/>
        <v>0</v>
      </c>
      <c r="I320" s="110">
        <f t="shared" si="541"/>
        <v>0</v>
      </c>
      <c r="J320" s="110">
        <f t="shared" si="541"/>
        <v>0</v>
      </c>
      <c r="K320" s="110">
        <f t="shared" si="541"/>
        <v>0</v>
      </c>
      <c r="L320" s="110">
        <f>ROUND((L317*L319*$Q$35)+(N317*L319*$Q$36),0)</f>
        <v>0</v>
      </c>
      <c r="M320" s="110">
        <f>ROUND((M317*M319*$Q$35)+(O317*M319*$Q$36),0)</f>
        <v>0</v>
      </c>
      <c r="N320" s="404"/>
      <c r="O320" s="89"/>
      <c r="P320" s="89"/>
      <c r="Q320" s="204"/>
      <c r="R320" s="25"/>
      <c r="S320" s="33"/>
      <c r="T320" s="33"/>
      <c r="U320" s="33"/>
      <c r="V320" s="33"/>
      <c r="W320" s="33"/>
      <c r="X320" s="33"/>
      <c r="Y320" s="23"/>
    </row>
    <row r="321" spans="1:28" x14ac:dyDescent="0.35">
      <c r="A321" s="201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89"/>
      <c r="P321" s="89"/>
      <c r="Q321" s="204"/>
      <c r="R321" s="25"/>
      <c r="S321" s="33"/>
      <c r="T321" s="33"/>
      <c r="U321" s="33"/>
      <c r="V321" s="33"/>
      <c r="W321" s="33"/>
      <c r="X321" s="33"/>
      <c r="Y321" s="23"/>
    </row>
    <row r="322" spans="1:28" ht="15" thickBot="1" x14ac:dyDescent="0.4">
      <c r="A322" s="200" t="s">
        <v>70</v>
      </c>
      <c r="B322" s="24" t="s">
        <v>1</v>
      </c>
      <c r="C322" s="24" t="s">
        <v>2</v>
      </c>
      <c r="D322" s="24" t="s">
        <v>3</v>
      </c>
      <c r="E322" s="24" t="s">
        <v>39</v>
      </c>
      <c r="F322" s="24" t="s">
        <v>45</v>
      </c>
      <c r="G322" s="24" t="s">
        <v>185</v>
      </c>
      <c r="H322" s="24" t="s">
        <v>186</v>
      </c>
      <c r="I322" s="24" t="s">
        <v>187</v>
      </c>
      <c r="J322" s="24" t="s">
        <v>188</v>
      </c>
      <c r="K322" s="24" t="s">
        <v>189</v>
      </c>
      <c r="L322" s="24"/>
      <c r="M322" s="24"/>
      <c r="N322" s="23"/>
      <c r="O322" s="89"/>
      <c r="P322" s="89"/>
      <c r="Q322" s="204"/>
      <c r="R322" s="427" t="s">
        <v>105</v>
      </c>
      <c r="S322" s="50" t="s">
        <v>1</v>
      </c>
      <c r="T322" s="51" t="s">
        <v>2</v>
      </c>
      <c r="U322" s="51" t="s">
        <v>3</v>
      </c>
      <c r="V322" s="51" t="s">
        <v>39</v>
      </c>
      <c r="W322" s="51" t="s">
        <v>45</v>
      </c>
      <c r="X322" s="51" t="s">
        <v>185</v>
      </c>
      <c r="Y322" s="51" t="s">
        <v>186</v>
      </c>
      <c r="Z322" s="51" t="s">
        <v>187</v>
      </c>
      <c r="AA322" s="51" t="s">
        <v>188</v>
      </c>
      <c r="AB322" s="51" t="s">
        <v>189</v>
      </c>
    </row>
    <row r="323" spans="1:28" x14ac:dyDescent="0.35">
      <c r="A323" s="201" t="str">
        <f>+R317</f>
        <v>Number of Students (Fall)</v>
      </c>
      <c r="B323" s="315">
        <v>0</v>
      </c>
      <c r="C323" s="315">
        <v>0</v>
      </c>
      <c r="D323" s="315">
        <v>0</v>
      </c>
      <c r="E323" s="315">
        <v>0</v>
      </c>
      <c r="F323" s="315">
        <v>0</v>
      </c>
      <c r="G323" s="315">
        <v>0</v>
      </c>
      <c r="H323" s="315">
        <v>0</v>
      </c>
      <c r="I323" s="315">
        <v>0</v>
      </c>
      <c r="J323" s="315">
        <v>0</v>
      </c>
      <c r="K323" s="315">
        <v>0</v>
      </c>
      <c r="L323" s="316"/>
      <c r="M323" s="316"/>
      <c r="N323" s="23"/>
      <c r="O323" s="89"/>
      <c r="P323" s="89"/>
      <c r="Q323" s="204"/>
      <c r="R323" s="36" t="s">
        <v>22</v>
      </c>
      <c r="S323" s="37">
        <f>SUM(S333:S335)</f>
        <v>0</v>
      </c>
      <c r="T323" s="37">
        <f>SUM(T333:T335)</f>
        <v>0</v>
      </c>
      <c r="U323" s="37">
        <f>SUM(U333:U335)</f>
        <v>0</v>
      </c>
      <c r="V323" s="37">
        <f>SUM(V333:V335)</f>
        <v>0</v>
      </c>
      <c r="W323" s="37">
        <f t="shared" ref="W323:AB323" si="542">SUM(W333:W335)</f>
        <v>0</v>
      </c>
      <c r="X323" s="37">
        <f t="shared" si="542"/>
        <v>0</v>
      </c>
      <c r="Y323" s="37">
        <f t="shared" si="542"/>
        <v>0</v>
      </c>
      <c r="Z323" s="37">
        <f t="shared" si="542"/>
        <v>0</v>
      </c>
      <c r="AA323" s="37">
        <f t="shared" si="542"/>
        <v>0</v>
      </c>
      <c r="AB323" s="37">
        <f t="shared" si="542"/>
        <v>0</v>
      </c>
    </row>
    <row r="324" spans="1:28" x14ac:dyDescent="0.35">
      <c r="A324" s="201" t="str">
        <f>+R318</f>
        <v>Number of Students (Spring)</v>
      </c>
      <c r="B324" s="316">
        <f>+B323</f>
        <v>0</v>
      </c>
      <c r="C324" s="316">
        <f>+C323</f>
        <v>0</v>
      </c>
      <c r="D324" s="316">
        <f>+D323</f>
        <v>0</v>
      </c>
      <c r="E324" s="316">
        <f>+E323</f>
        <v>0</v>
      </c>
      <c r="F324" s="316">
        <f>+F323</f>
        <v>0</v>
      </c>
      <c r="G324" s="316">
        <f t="shared" ref="G324:K324" si="543">+G323</f>
        <v>0</v>
      </c>
      <c r="H324" s="316">
        <f t="shared" si="543"/>
        <v>0</v>
      </c>
      <c r="I324" s="316">
        <f t="shared" si="543"/>
        <v>0</v>
      </c>
      <c r="J324" s="316">
        <f t="shared" si="543"/>
        <v>0</v>
      </c>
      <c r="K324" s="316">
        <f t="shared" si="543"/>
        <v>0</v>
      </c>
      <c r="L324" s="316"/>
      <c r="M324" s="316"/>
      <c r="N324" s="23"/>
      <c r="O324" s="89"/>
      <c r="P324" s="89"/>
      <c r="Q324" s="204"/>
      <c r="R324" s="36" t="s">
        <v>8</v>
      </c>
      <c r="S324" s="37">
        <f>SUM(S336:S338)</f>
        <v>0</v>
      </c>
      <c r="T324" s="37">
        <f>SUM(T336:T338)</f>
        <v>0</v>
      </c>
      <c r="U324" s="37">
        <f>SUM(U336:U338)</f>
        <v>0</v>
      </c>
      <c r="V324" s="37">
        <f>SUM(V336:V338)</f>
        <v>0</v>
      </c>
      <c r="W324" s="37">
        <f t="shared" ref="W324:AB324" si="544">SUM(W336:W338)</f>
        <v>0</v>
      </c>
      <c r="X324" s="37">
        <f t="shared" si="544"/>
        <v>0</v>
      </c>
      <c r="Y324" s="37">
        <f t="shared" si="544"/>
        <v>0</v>
      </c>
      <c r="Z324" s="37">
        <f t="shared" si="544"/>
        <v>0</v>
      </c>
      <c r="AA324" s="37">
        <f t="shared" si="544"/>
        <v>0</v>
      </c>
      <c r="AB324" s="37">
        <f t="shared" si="544"/>
        <v>0</v>
      </c>
    </row>
    <row r="325" spans="1:28" x14ac:dyDescent="0.35">
      <c r="A325" s="201" t="str">
        <f>+R319</f>
        <v>Number of Students (Summer)</v>
      </c>
      <c r="B325" s="316">
        <f>+B323</f>
        <v>0</v>
      </c>
      <c r="C325" s="316">
        <f>+C323</f>
        <v>0</v>
      </c>
      <c r="D325" s="316">
        <f>+D323</f>
        <v>0</v>
      </c>
      <c r="E325" s="316">
        <f>+E323</f>
        <v>0</v>
      </c>
      <c r="F325" s="316">
        <f>+F323</f>
        <v>0</v>
      </c>
      <c r="G325" s="316">
        <f t="shared" ref="G325:K325" si="545">+G323</f>
        <v>0</v>
      </c>
      <c r="H325" s="316">
        <f t="shared" si="545"/>
        <v>0</v>
      </c>
      <c r="I325" s="316">
        <f t="shared" si="545"/>
        <v>0</v>
      </c>
      <c r="J325" s="316">
        <f t="shared" si="545"/>
        <v>0</v>
      </c>
      <c r="K325" s="316">
        <f t="shared" si="545"/>
        <v>0</v>
      </c>
      <c r="L325" s="316"/>
      <c r="M325" s="316"/>
      <c r="N325" s="23"/>
      <c r="O325" s="89"/>
      <c r="P325" s="89"/>
      <c r="Q325" s="204"/>
      <c r="R325" s="36" t="s">
        <v>9</v>
      </c>
      <c r="S325" s="37">
        <f>SUM(S339:S341)</f>
        <v>0</v>
      </c>
      <c r="T325" s="37">
        <f>SUM(T339:T341)</f>
        <v>0</v>
      </c>
      <c r="U325" s="37">
        <f>SUM(U339:U341)</f>
        <v>0</v>
      </c>
      <c r="V325" s="37">
        <f>SUM(V339:V341)</f>
        <v>0</v>
      </c>
      <c r="W325" s="37">
        <f t="shared" ref="W325:AB325" si="546">SUM(W339:W341)</f>
        <v>0</v>
      </c>
      <c r="X325" s="37">
        <f t="shared" si="546"/>
        <v>0</v>
      </c>
      <c r="Y325" s="37">
        <f t="shared" si="546"/>
        <v>0</v>
      </c>
      <c r="Z325" s="37">
        <f t="shared" si="546"/>
        <v>0</v>
      </c>
      <c r="AA325" s="37">
        <f t="shared" si="546"/>
        <v>0</v>
      </c>
      <c r="AB325" s="37">
        <f t="shared" si="546"/>
        <v>0</v>
      </c>
    </row>
    <row r="326" spans="1:28" ht="15" thickBot="1" x14ac:dyDescent="0.4">
      <c r="A326" s="201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23"/>
      <c r="O326" s="89"/>
      <c r="P326" s="89"/>
      <c r="Q326" s="204"/>
      <c r="R326" s="38" t="s">
        <v>31</v>
      </c>
      <c r="S326" s="39">
        <f>SUM(S323:S325)</f>
        <v>0</v>
      </c>
      <c r="T326" s="39">
        <f>SUM(T323:T325)</f>
        <v>0</v>
      </c>
      <c r="U326" s="39">
        <f>SUM(U323:U325)</f>
        <v>0</v>
      </c>
      <c r="V326" s="39">
        <f>SUM(V323:V325)</f>
        <v>0</v>
      </c>
      <c r="W326" s="39">
        <f t="shared" ref="W326" si="547">SUM(W323:W325)</f>
        <v>0</v>
      </c>
      <c r="X326" s="39">
        <f t="shared" ref="X326" si="548">SUM(X323:X325)</f>
        <v>0</v>
      </c>
      <c r="Y326" s="39">
        <f t="shared" ref="Y326" si="549">SUM(Y323:Y325)</f>
        <v>0</v>
      </c>
      <c r="Z326" s="39">
        <f t="shared" ref="Z326" si="550">SUM(Z323:Z325)</f>
        <v>0</v>
      </c>
      <c r="AA326" s="39">
        <f t="shared" ref="AA326" si="551">SUM(AA323:AA325)</f>
        <v>0</v>
      </c>
      <c r="AB326" s="39">
        <f t="shared" ref="AB326" si="552">SUM(AB323:AB325)</f>
        <v>0</v>
      </c>
    </row>
    <row r="327" spans="1:28" x14ac:dyDescent="0.35">
      <c r="A327" s="200" t="s">
        <v>73</v>
      </c>
      <c r="B327" s="24" t="s">
        <v>1</v>
      </c>
      <c r="C327" s="24" t="s">
        <v>2</v>
      </c>
      <c r="D327" s="24" t="s">
        <v>3</v>
      </c>
      <c r="E327" s="24" t="s">
        <v>39</v>
      </c>
      <c r="F327" s="24" t="s">
        <v>45</v>
      </c>
      <c r="G327" s="24" t="s">
        <v>185</v>
      </c>
      <c r="H327" s="24" t="s">
        <v>186</v>
      </c>
      <c r="I327" s="24" t="s">
        <v>187</v>
      </c>
      <c r="J327" s="24" t="s">
        <v>188</v>
      </c>
      <c r="K327" s="24" t="s">
        <v>189</v>
      </c>
      <c r="L327" s="24"/>
      <c r="M327" s="24"/>
      <c r="Q327" s="195"/>
      <c r="S327" s="116"/>
      <c r="Y327" s="23"/>
    </row>
    <row r="328" spans="1:28" x14ac:dyDescent="0.35">
      <c r="A328" s="201" t="s">
        <v>69</v>
      </c>
      <c r="B328" s="313">
        <f>Minimum_Undergraduate_rate</f>
        <v>14.2</v>
      </c>
      <c r="C328" s="313">
        <f>+B328</f>
        <v>14.2</v>
      </c>
      <c r="D328" s="313">
        <f t="shared" ref="D328" si="553">+C328</f>
        <v>14.2</v>
      </c>
      <c r="E328" s="313">
        <f t="shared" ref="E328" si="554">+D328</f>
        <v>14.2</v>
      </c>
      <c r="F328" s="313">
        <f t="shared" ref="F328" si="555">+E328</f>
        <v>14.2</v>
      </c>
      <c r="G328" s="313">
        <f t="shared" ref="G328" si="556">+F328</f>
        <v>14.2</v>
      </c>
      <c r="H328" s="313">
        <f t="shared" ref="H328" si="557">+G328</f>
        <v>14.2</v>
      </c>
      <c r="I328" s="313">
        <f t="shared" ref="I328" si="558">+H328</f>
        <v>14.2</v>
      </c>
      <c r="J328" s="313">
        <f t="shared" ref="J328" si="559">+I328</f>
        <v>14.2</v>
      </c>
      <c r="K328" s="313">
        <f t="shared" ref="K328" si="560">+J328</f>
        <v>14.2</v>
      </c>
      <c r="L328" s="402"/>
      <c r="M328" s="402"/>
      <c r="Q328" s="195"/>
      <c r="Y328" s="23"/>
    </row>
    <row r="329" spans="1:28" x14ac:dyDescent="0.35">
      <c r="A329" s="201" t="s">
        <v>60</v>
      </c>
      <c r="B329" s="317">
        <v>0</v>
      </c>
      <c r="C329" s="317">
        <v>0</v>
      </c>
      <c r="D329" s="317">
        <v>0</v>
      </c>
      <c r="E329" s="317">
        <v>0</v>
      </c>
      <c r="F329" s="317">
        <v>0</v>
      </c>
      <c r="G329" s="317">
        <v>0</v>
      </c>
      <c r="H329" s="317">
        <v>0</v>
      </c>
      <c r="I329" s="317">
        <v>0</v>
      </c>
      <c r="J329" s="317">
        <v>0</v>
      </c>
      <c r="K329" s="317">
        <v>0</v>
      </c>
      <c r="L329" s="405"/>
      <c r="M329" s="405"/>
      <c r="Q329" s="195"/>
      <c r="R329" s="117"/>
      <c r="S329" s="53" t="str">
        <f>CONCATENATE("FY",$AD$3)</f>
        <v>FY2024</v>
      </c>
      <c r="T329" s="53" t="str">
        <f>CONCATENATE("FY",$AD$3+1)</f>
        <v>FY2025</v>
      </c>
      <c r="U329" s="53" t="str">
        <f>CONCATENATE("FY",$AD$3+2)</f>
        <v>FY2026</v>
      </c>
      <c r="V329" s="53" t="str">
        <f>CONCATENATE("FY",$AD$3+3)</f>
        <v>FY2027</v>
      </c>
      <c r="W329" s="53" t="str">
        <f>CONCATENATE("FY",$AD$3+4)</f>
        <v>FY2028</v>
      </c>
      <c r="X329" s="53" t="str">
        <f>CONCATENATE("FY",$AD$3+5)</f>
        <v>FY2029</v>
      </c>
      <c r="Y329" s="53" t="str">
        <f>CONCATENATE("FY",$AD$3+6)</f>
        <v>FY2030</v>
      </c>
      <c r="Z329" s="53" t="str">
        <f>CONCATENATE("FY",$AD$3+7)</f>
        <v>FY2031</v>
      </c>
      <c r="AA329" s="53" t="str">
        <f>CONCATENATE("FY",$AD$3+8)</f>
        <v>FY2032</v>
      </c>
      <c r="AB329" s="53" t="str">
        <f>CONCATENATE("FY",$AD$3+9)</f>
        <v>FY2033</v>
      </c>
    </row>
    <row r="330" spans="1:28" x14ac:dyDescent="0.35">
      <c r="A330" s="201" t="s">
        <v>61</v>
      </c>
      <c r="B330" s="317">
        <v>0</v>
      </c>
      <c r="C330" s="317">
        <v>0</v>
      </c>
      <c r="D330" s="317">
        <v>0</v>
      </c>
      <c r="E330" s="317">
        <v>0</v>
      </c>
      <c r="F330" s="317">
        <v>0</v>
      </c>
      <c r="G330" s="317">
        <v>0</v>
      </c>
      <c r="H330" s="317">
        <v>0</v>
      </c>
      <c r="I330" s="317">
        <v>0</v>
      </c>
      <c r="J330" s="317">
        <v>0</v>
      </c>
      <c r="K330" s="317">
        <v>0</v>
      </c>
      <c r="L330" s="405"/>
      <c r="M330" s="405"/>
      <c r="Q330" s="195"/>
      <c r="R330" s="118"/>
      <c r="S330" s="53" t="str">
        <f>IF(OR($AD$2&gt;=7,$AD$2&lt;=2),CONCATENATE("FY",$AD$3),IF(AND($AD$2&gt;=3,$AD$2&lt;=6),CONCATENATE("FY",$AD$3+1),"N/A"))</f>
        <v>FY2024</v>
      </c>
      <c r="T330" s="53" t="str">
        <f>IF(OR($AD$2&gt;=7,$AD$2&lt;=2),CONCATENATE("FY",$AD$3+1),IF(AND($AD$2&gt;=3,$AD$2&lt;=6),CONCATENATE("FY",$AD$3+2),"N/A"))</f>
        <v>FY2025</v>
      </c>
      <c r="U330" s="53" t="str">
        <f>IF(OR($AD$2&gt;=7,$AD$2&lt;=2),CONCATENATE("FY",$AD$3+2),IF(AND($AD$2&gt;=3,$AD$2&lt;=6),CONCATENATE("FY",$AD$3+3),"N/A"))</f>
        <v>FY2026</v>
      </c>
      <c r="V330" s="53" t="str">
        <f>IF(OR($AD$2&gt;=7,$AD$2&lt;=2),CONCATENATE("FY",$AD$3+3),IF(AND($AD$2&gt;=3,$AD$2&lt;=6),CONCATENATE("FY",$AD$3+4),"N/A"))</f>
        <v>FY2027</v>
      </c>
      <c r="W330" s="53" t="str">
        <f>IF(OR($AD$2&gt;=7,$AD$2&lt;=2),CONCATENATE("FY",$AD$3+4),IF(AND($AD$2&gt;=3,$AD$2&lt;=6),CONCATENATE("FY",$AD$3+5),"N/A"))</f>
        <v>FY2028</v>
      </c>
      <c r="X330" s="53" t="str">
        <f>IF(OR($AD$2&gt;=7,$AD$2&lt;=2),CONCATENATE("FY",$AD$3+5),IF(AND($AD$2&gt;=3,$AD$2&lt;=6),CONCATENATE("FY",$AD$3+6),"N/A"))</f>
        <v>FY2029</v>
      </c>
      <c r="Y330" s="53" t="str">
        <f>IF(OR($AD$2&gt;=7,$AD$2&lt;=2),CONCATENATE("FY",$AD$3+6),IF(AND($AD$2&gt;=3,$AD$2&lt;=6),CONCATENATE("FY",$AD$3+7),"N/A"))</f>
        <v>FY2030</v>
      </c>
      <c r="Z330" s="53" t="str">
        <f>IF(OR($AD$2&gt;=7,$AD$2&lt;=2),CONCATENATE("FY",$AD$3+7),IF(AND($AD$2&gt;=3,$AD$2&lt;=6),CONCATENATE("FY",$AD$3+8),"N/A"))</f>
        <v>FY2031</v>
      </c>
      <c r="AA330" s="53" t="str">
        <f>IF(OR($AD$2&gt;=7,$AD$2&lt;=2),CONCATENATE("FY",$AD$3+8),IF(AND($AD$2&gt;=3,$AD$2&lt;=6),CONCATENATE("FY",$AD$3+9),"N/A"))</f>
        <v>FY2032</v>
      </c>
      <c r="AB330" s="53" t="str">
        <f>IF(OR($AD$2&gt;=7,$AD$2&lt;=2),CONCATENATE("FY",$AD$3+9),IF(AND($AD$2&gt;=3,$AD$2&lt;=6),CONCATENATE("FY",$AD$3+10),"N/A"))</f>
        <v>FY2033</v>
      </c>
    </row>
    <row r="331" spans="1:28" x14ac:dyDescent="0.35">
      <c r="A331" s="201" t="s">
        <v>66</v>
      </c>
      <c r="B331" s="54">
        <f>ROUND(B328*(B329*B330),0)</f>
        <v>0</v>
      </c>
      <c r="C331" s="54">
        <f t="shared" ref="C331:F331" si="561">ROUND(C328*(C329*C330),0)</f>
        <v>0</v>
      </c>
      <c r="D331" s="54">
        <f t="shared" si="561"/>
        <v>0</v>
      </c>
      <c r="E331" s="54">
        <f t="shared" si="561"/>
        <v>0</v>
      </c>
      <c r="F331" s="54">
        <f t="shared" si="561"/>
        <v>0</v>
      </c>
      <c r="G331" s="54">
        <f t="shared" ref="G331:K331" si="562">ROUND(G328*(G329*G330),0)</f>
        <v>0</v>
      </c>
      <c r="H331" s="54">
        <f t="shared" si="562"/>
        <v>0</v>
      </c>
      <c r="I331" s="54">
        <f t="shared" si="562"/>
        <v>0</v>
      </c>
      <c r="J331" s="54">
        <f t="shared" si="562"/>
        <v>0</v>
      </c>
      <c r="K331" s="54">
        <f t="shared" si="562"/>
        <v>0</v>
      </c>
      <c r="L331" s="406"/>
      <c r="M331" s="406"/>
      <c r="Q331" s="195"/>
      <c r="R331" s="53"/>
      <c r="S331" s="53" t="str">
        <f>IF(AND($AD$2&gt;=1,$AD$2&lt;=6),CONCATENATE("FY",$AD$3+1),IF(AND($AD$2&gt;=7,$AD$2&lt;=9),CONCATENATE("FY",$AD$3),IF(AND($AD$2&gt;=10,$AD$2&lt;=126),CONCATENATE("FY",$AD$3+1),"N/A")))</f>
        <v>FY2024</v>
      </c>
      <c r="T331" s="53" t="str">
        <f>IF(AND($AD$2&gt;=1,$AD$2&lt;=6),CONCATENATE("FY",$AD$3+2),IF(AND($AD$2&gt;=7,$AD$2&lt;=9),CONCATENATE("FY",$AD$3+1),IF(AND($AD$2&gt;=10,$AD$2&lt;=126),CONCATENATE("FY",$AD$3+2),"N/A")))</f>
        <v>FY2025</v>
      </c>
      <c r="U331" s="53" t="str">
        <f>IF(AND($AD$2&gt;=1,$AD$2&lt;=6),CONCATENATE("FY",$AD$3+3),IF(AND($AD$2&gt;=7,$AD$2&lt;=9),CONCATENATE("FY",$AD$3+2),IF(AND($AD$2&gt;=10,$AD$2&lt;=126),CONCATENATE("FY",$AD$3+3),"N/A")))</f>
        <v>FY2026</v>
      </c>
      <c r="V331" s="53" t="str">
        <f>IF(AND($AD$2&gt;=1,$AD$2&lt;=6),CONCATENATE("FY",$AD$3+4),IF(AND($AD$2&gt;=7,$AD$2&lt;=9),CONCATENATE("FY",$AD$3+3),IF(AND($AD$2&gt;=10,$AD$2&lt;=126),CONCATENATE("FY",$AD$3+4),"N/A")))</f>
        <v>FY2027</v>
      </c>
      <c r="W331" s="53" t="str">
        <f>IF(AND($AD$2&gt;=1,$AD$2&lt;=6),CONCATENATE("FY",$AD$3+5),IF(AND($AD$2&gt;=7,$AD$2&lt;=9),CONCATENATE("FY",$AD$3+4),IF(AND($AD$2&gt;=10,$AD$2&lt;=126),CONCATENATE("FY",$AD$3+5),"N/A")))</f>
        <v>FY2028</v>
      </c>
      <c r="X331" s="53" t="str">
        <f>IF(AND($AD$2&gt;=1,$AD$2&lt;=6),CONCATENATE("FY",$AD$3+6),IF(AND($AD$2&gt;=7,$AD$2&lt;=9),CONCATENATE("FY",$AD$3+5),IF(AND($AD$2&gt;=10,$AD$2&lt;=126),CONCATENATE("FY",$AD$3+6),"N/A")))</f>
        <v>FY2029</v>
      </c>
      <c r="Y331" s="53" t="str">
        <f>IF(AND($AD$2&gt;=1,$AD$2&lt;=6),CONCATENATE("FY",$AD$3+6),IF(AND($AD$2&gt;=7,$AD$2&lt;=9),CONCATENATE("FY",$AD$3+6),IF(AND($AD$2&gt;=10,$AD$2&lt;=126),CONCATENATE("FY",$AD$3+7),"N/A")))</f>
        <v>FY2030</v>
      </c>
      <c r="Z331" s="53" t="str">
        <f>IF(AND($AD$2&gt;=1,$AD$2&lt;=6),CONCATENATE("FY",$AD$3+6),IF(AND($AD$2&gt;=7,$AD$2&lt;=9),CONCATENATE("FY",$AD$3+7),IF(AND($AD$2&gt;=10,$AD$2&lt;=126),CONCATENATE("FY",$AD$3+8),"N/A")))</f>
        <v>FY2031</v>
      </c>
      <c r="AA331" s="53" t="str">
        <f>IF(AND($AD$2&gt;=1,$AD$2&lt;=6),CONCATENATE("FY",$AD$3+6),IF(AND($AD$2&gt;=7,$AD$2&lt;=9),CONCATENATE("FY",$AD$3+8),IF(AND($AD$2&gt;=10,$AD$2&lt;=126),CONCATENATE("FY",$AD$3+9),"N/A")))</f>
        <v>FY2032</v>
      </c>
      <c r="AB331" s="53" t="str">
        <f>IF(AND($AD$2&gt;=1,$AD$2&lt;=6),CONCATENATE("FY",$AD$3+6),IF(AND($AD$2&gt;=7,$AD$2&lt;=9),CONCATENATE("FY",$AD$3+9),IF(AND($AD$2&gt;=10,$AD$2&lt;=126),CONCATENATE("FY",$AD$3+10),"N/A")))</f>
        <v>FY2033</v>
      </c>
    </row>
    <row r="332" spans="1:28" ht="15" thickBot="1" x14ac:dyDescent="0.4">
      <c r="A332" s="201" t="s">
        <v>58</v>
      </c>
      <c r="B332" s="317">
        <v>0</v>
      </c>
      <c r="C332" s="317">
        <v>0</v>
      </c>
      <c r="D332" s="317">
        <v>0</v>
      </c>
      <c r="E332" s="317">
        <v>0</v>
      </c>
      <c r="F332" s="317">
        <v>0</v>
      </c>
      <c r="G332" s="317">
        <v>0</v>
      </c>
      <c r="H332" s="317">
        <v>0</v>
      </c>
      <c r="I332" s="317">
        <v>0</v>
      </c>
      <c r="J332" s="317">
        <v>0</v>
      </c>
      <c r="K332" s="317">
        <v>0</v>
      </c>
      <c r="L332" s="405"/>
      <c r="M332" s="405"/>
      <c r="Q332" s="195"/>
      <c r="R332" s="427" t="s">
        <v>106</v>
      </c>
      <c r="S332" s="50" t="s">
        <v>1</v>
      </c>
      <c r="T332" s="51" t="s">
        <v>2</v>
      </c>
      <c r="U332" s="51" t="s">
        <v>3</v>
      </c>
      <c r="V332" s="51" t="s">
        <v>39</v>
      </c>
      <c r="W332" s="51" t="s">
        <v>45</v>
      </c>
      <c r="X332" s="51" t="s">
        <v>185</v>
      </c>
      <c r="Y332" s="51" t="s">
        <v>186</v>
      </c>
      <c r="Z332" s="51" t="s">
        <v>187</v>
      </c>
      <c r="AA332" s="51" t="s">
        <v>188</v>
      </c>
      <c r="AB332" s="51" t="s">
        <v>189</v>
      </c>
    </row>
    <row r="333" spans="1:28" x14ac:dyDescent="0.35">
      <c r="A333" s="201" t="s">
        <v>59</v>
      </c>
      <c r="B333" s="317">
        <v>0</v>
      </c>
      <c r="C333" s="317">
        <v>0</v>
      </c>
      <c r="D333" s="317">
        <v>0</v>
      </c>
      <c r="E333" s="317">
        <v>0</v>
      </c>
      <c r="F333" s="317">
        <v>0</v>
      </c>
      <c r="G333" s="317">
        <v>0</v>
      </c>
      <c r="H333" s="317">
        <v>0</v>
      </c>
      <c r="I333" s="317">
        <v>0</v>
      </c>
      <c r="J333" s="317">
        <v>0</v>
      </c>
      <c r="K333" s="317">
        <v>0</v>
      </c>
      <c r="L333" s="405"/>
      <c r="M333" s="405"/>
      <c r="Q333" s="195"/>
      <c r="R333" s="119" t="str">
        <f t="shared" ref="R333:R341" si="563">+R90</f>
        <v>Stipend (Fall)</v>
      </c>
      <c r="S333" s="120">
        <f t="shared" ref="S333:AB333" si="564">IF(RIGHT($R333,8)="(Summer)",ROUND(S317*HLOOKUP(S329,CoPI_3_GRARateTbl,3,FALSE),0))+IF(RIGHT($R333,8)&lt;&gt;"(Summer)",ROUND(S317*HLOOKUP(S329,CoPI_3_GRARateTbl,2,FALSE)/2,0))</f>
        <v>0</v>
      </c>
      <c r="T333" s="120">
        <f t="shared" si="564"/>
        <v>0</v>
      </c>
      <c r="U333" s="120">
        <f t="shared" si="564"/>
        <v>0</v>
      </c>
      <c r="V333" s="120">
        <f t="shared" si="564"/>
        <v>0</v>
      </c>
      <c r="W333" s="120">
        <f t="shared" si="564"/>
        <v>0</v>
      </c>
      <c r="X333" s="120">
        <f t="shared" si="564"/>
        <v>0</v>
      </c>
      <c r="Y333" s="120">
        <f t="shared" si="564"/>
        <v>0</v>
      </c>
      <c r="Z333" s="120">
        <f t="shared" si="564"/>
        <v>0</v>
      </c>
      <c r="AA333" s="120">
        <f t="shared" si="564"/>
        <v>0</v>
      </c>
      <c r="AB333" s="120">
        <f t="shared" si="564"/>
        <v>0</v>
      </c>
    </row>
    <row r="334" spans="1:28" x14ac:dyDescent="0.35">
      <c r="A334" s="201" t="s">
        <v>67</v>
      </c>
      <c r="B334" s="54">
        <f>ROUND(B328*(B332*B333),0)</f>
        <v>0</v>
      </c>
      <c r="C334" s="54">
        <f>ROUND(C328*(C332*C333),0)</f>
        <v>0</v>
      </c>
      <c r="D334" s="54">
        <f>ROUND(D328*(D332*D333),0)</f>
        <v>0</v>
      </c>
      <c r="E334" s="54">
        <f>ROUND(E328*(E332*E333),0)</f>
        <v>0</v>
      </c>
      <c r="F334" s="54">
        <f>ROUND(F328*(F332*F333),0)</f>
        <v>0</v>
      </c>
      <c r="G334" s="54">
        <f t="shared" ref="G334:K334" si="565">ROUND(G328*(G332*G333),0)</f>
        <v>0</v>
      </c>
      <c r="H334" s="54">
        <f t="shared" si="565"/>
        <v>0</v>
      </c>
      <c r="I334" s="54">
        <f t="shared" si="565"/>
        <v>0</v>
      </c>
      <c r="J334" s="54">
        <f t="shared" si="565"/>
        <v>0</v>
      </c>
      <c r="K334" s="54">
        <f t="shared" si="565"/>
        <v>0</v>
      </c>
      <c r="L334" s="406"/>
      <c r="M334" s="406"/>
      <c r="Q334" s="195"/>
      <c r="R334" s="121" t="str">
        <f t="shared" si="563"/>
        <v>Stipend (Spring)</v>
      </c>
      <c r="S334" s="120">
        <f t="shared" ref="S334:AB334" si="566">IF(RIGHT($R334,8)="(Summer)",ROUND(S318*HLOOKUP(S330,CoPI_3_GRARateTbl,3,FALSE),0))+IF(RIGHT($R334,8)&lt;&gt;"(Summer)",ROUND(S318*HLOOKUP(S330,CoPI_3_GRARateTbl,2,FALSE)/2,0))</f>
        <v>0</v>
      </c>
      <c r="T334" s="120">
        <f t="shared" si="566"/>
        <v>0</v>
      </c>
      <c r="U334" s="120">
        <f t="shared" si="566"/>
        <v>0</v>
      </c>
      <c r="V334" s="120">
        <f t="shared" si="566"/>
        <v>0</v>
      </c>
      <c r="W334" s="120">
        <f t="shared" si="566"/>
        <v>0</v>
      </c>
      <c r="X334" s="120">
        <f t="shared" si="566"/>
        <v>0</v>
      </c>
      <c r="Y334" s="120">
        <f t="shared" si="566"/>
        <v>0</v>
      </c>
      <c r="Z334" s="120">
        <f t="shared" si="566"/>
        <v>0</v>
      </c>
      <c r="AA334" s="120">
        <f t="shared" si="566"/>
        <v>0</v>
      </c>
      <c r="AB334" s="120">
        <f t="shared" si="566"/>
        <v>0</v>
      </c>
    </row>
    <row r="335" spans="1:28" x14ac:dyDescent="0.35">
      <c r="A335" s="201" t="s">
        <v>21</v>
      </c>
      <c r="B335" s="110">
        <f>+B331+B334</f>
        <v>0</v>
      </c>
      <c r="C335" s="110">
        <f>+C331+C334</f>
        <v>0</v>
      </c>
      <c r="D335" s="110">
        <f>+D331+D334</f>
        <v>0</v>
      </c>
      <c r="E335" s="110">
        <f>+E331+E334</f>
        <v>0</v>
      </c>
      <c r="F335" s="110">
        <f>+F331+F334</f>
        <v>0</v>
      </c>
      <c r="G335" s="110">
        <f t="shared" ref="G335:K335" si="567">+G331+G334</f>
        <v>0</v>
      </c>
      <c r="H335" s="110">
        <f t="shared" si="567"/>
        <v>0</v>
      </c>
      <c r="I335" s="110">
        <f t="shared" si="567"/>
        <v>0</v>
      </c>
      <c r="J335" s="110">
        <f t="shared" si="567"/>
        <v>0</v>
      </c>
      <c r="K335" s="110">
        <f t="shared" si="567"/>
        <v>0</v>
      </c>
      <c r="L335" s="404"/>
      <c r="M335" s="404"/>
      <c r="Q335" s="195"/>
      <c r="R335" s="121" t="str">
        <f t="shared" si="563"/>
        <v>Stipend (Summer)</v>
      </c>
      <c r="S335" s="120">
        <f t="shared" ref="S335:AB335" si="568">IF(RIGHT($R335,8)="(Summer)",ROUND(S319*HLOOKUP(S331,CoPI_3_GRARateTbl,3,FALSE),0))+IF(RIGHT($R335,8)&lt;&gt;"(Summer)",ROUND(S319*HLOOKUP(S331,CoPI_3_GRARateTbl,2,FALSE)/2,0))</f>
        <v>0</v>
      </c>
      <c r="T335" s="120">
        <f t="shared" si="568"/>
        <v>0</v>
      </c>
      <c r="U335" s="120">
        <f t="shared" si="568"/>
        <v>0</v>
      </c>
      <c r="V335" s="120">
        <f t="shared" si="568"/>
        <v>0</v>
      </c>
      <c r="W335" s="120">
        <f t="shared" si="568"/>
        <v>0</v>
      </c>
      <c r="X335" s="120">
        <f t="shared" si="568"/>
        <v>0</v>
      </c>
      <c r="Y335" s="120">
        <f t="shared" si="568"/>
        <v>0</v>
      </c>
      <c r="Z335" s="120">
        <f t="shared" si="568"/>
        <v>0</v>
      </c>
      <c r="AA335" s="120">
        <f t="shared" si="568"/>
        <v>0</v>
      </c>
      <c r="AB335" s="120">
        <f t="shared" si="568"/>
        <v>0</v>
      </c>
    </row>
    <row r="336" spans="1:28" x14ac:dyDescent="0.35">
      <c r="A336" s="195"/>
      <c r="I336" s="23"/>
      <c r="J336" s="23"/>
      <c r="K336" s="23"/>
      <c r="L336" s="23"/>
      <c r="M336" s="23"/>
      <c r="N336" s="23"/>
      <c r="Q336" s="195"/>
      <c r="R336" s="121" t="str">
        <f t="shared" si="563"/>
        <v>Tuition (Fall)</v>
      </c>
      <c r="S336" s="120">
        <f t="shared" ref="S336:AB336" si="569">IF(RIGHT($R336,8)="(Summer)",0,ROUND(S317*HLOOKUP(S329,CoPI_3_GRARateTbl,5,FALSE)/2,0))</f>
        <v>0</v>
      </c>
      <c r="T336" s="120">
        <f t="shared" si="569"/>
        <v>0</v>
      </c>
      <c r="U336" s="120">
        <f t="shared" si="569"/>
        <v>0</v>
      </c>
      <c r="V336" s="120">
        <f t="shared" si="569"/>
        <v>0</v>
      </c>
      <c r="W336" s="120">
        <f t="shared" si="569"/>
        <v>0</v>
      </c>
      <c r="X336" s="120">
        <f t="shared" si="569"/>
        <v>0</v>
      </c>
      <c r="Y336" s="120">
        <f t="shared" si="569"/>
        <v>0</v>
      </c>
      <c r="Z336" s="120">
        <f t="shared" si="569"/>
        <v>0</v>
      </c>
      <c r="AA336" s="120">
        <f t="shared" si="569"/>
        <v>0</v>
      </c>
      <c r="AB336" s="120">
        <f t="shared" si="569"/>
        <v>0</v>
      </c>
    </row>
    <row r="337" spans="1:28" x14ac:dyDescent="0.35">
      <c r="A337" s="203" t="s">
        <v>88</v>
      </c>
      <c r="B337" s="104" t="str">
        <f t="shared" ref="B337:L337" si="570">IF(AND(B338=$AE$5,$O339=9),$AE$3,IF(AND(B338=$AF$5,$O339=9),$AF$3,IF(AND(B338=$AG$5,$O339=9),$AG$3,IF(AND(B338=$AH$5,$O339=9),$AH$3,IF(AND(B338=$AI$5,$O339=9),$AI$3,IF(AND(B338=$AJ$5,$O339=9),$AJ$3,IF(AND(B338=$AK$5,$O339=9),$AK$3,IF(AND(B338=$AL$5,$O339=9),$AL$3,IF(AND(B338=$AM$5,$O339=9),$AM$3,IF(AND(B338=$AN$5,$O339=9),$AN$3,IF(AND(B338=$AO$5,$O339=9),$AO$3,IF(AND(B338=$AP$5,$O339=9),$AJ$3,IF(AND(B338=$AE$4,$O339=12),$AE$3,IF(AND(B338=$AF$4,$O339=12),$AF$3,IF(AND(B338=$AG$4,$O339=12),$AG$3,IF(AND(B338=$AH$4,$O339=12),$AH$3,IF(AND(B338=$AI$4,$O339=12),$AI$3,IF(AND(B338=$AJ$4,$O339=12),$AJ$3,IF(AND(B338=$AK$4,$O339=12),$AK$3,IF(AND(B338=$AL$4,$O339=12),$AL$3,IF(AND(B338=$AM$4,$O339=12),$AM$3,IF(AND(B338=$AN$4,$O339=12),$AN$3,IF(AND(B338=$AO$4,$O339=12),$AO$3,IF(AND(B338=$AP$4,$O339=12),$AJ$3," "))))))))))))))))))))))))</f>
        <v xml:space="preserve"> </v>
      </c>
      <c r="C337" s="104" t="str">
        <f t="shared" si="570"/>
        <v>Year 1</v>
      </c>
      <c r="D337" s="104" t="str">
        <f t="shared" si="570"/>
        <v>Year 2</v>
      </c>
      <c r="E337" s="104" t="str">
        <f t="shared" si="570"/>
        <v>Year 3</v>
      </c>
      <c r="F337" s="104" t="str">
        <f t="shared" si="570"/>
        <v>Year 4</v>
      </c>
      <c r="G337" s="104" t="str">
        <f t="shared" si="570"/>
        <v>Year 5</v>
      </c>
      <c r="H337" s="104" t="str">
        <f t="shared" si="570"/>
        <v>Year 6</v>
      </c>
      <c r="I337" s="104" t="str">
        <f t="shared" si="570"/>
        <v>Year 7</v>
      </c>
      <c r="J337" s="104" t="str">
        <f t="shared" si="570"/>
        <v>Year 8</v>
      </c>
      <c r="K337" s="104" t="str">
        <f t="shared" si="570"/>
        <v>Year 9</v>
      </c>
      <c r="L337" s="104" t="str">
        <f t="shared" si="570"/>
        <v>Year 10</v>
      </c>
      <c r="M337" s="104" t="str">
        <f t="shared" ref="M337" si="571">IF(AND(M338=$AE$5,$O339=9),$AE$3,IF(AND(M338=$AF$5,$O339=9),$AF$3,IF(AND(M338=$AG$5,$O339=9),$AG$3,IF(AND(M338=$AH$5,$O339=9),$AH$3,IF(AND(M338=$AI$5,$O339=9),$AI$3,IF(AND(M338=$AJ$5,$O339=9),$AJ$3,IF(AND(M338=$AK$5,$O339=9),$AK$3,IF(AND(M338=$AL$5,$O339=9),$AL$3,IF(AND(M338=$AM$5,$O339=9),$AM$3,IF(AND(M338=$AN$5,$O339=9),$AN$3,IF(AND(M338=$AO$5,$O339=9),$AO$3,IF(AND(M338=$AP$5,$O339=9),$AJ$3,IF(AND(M338=$AE$4,$O339=12),$AE$3,IF(AND(M338=$AF$4,$O339=12),$AF$3,IF(AND(M338=$AG$4,$O339=12),$AG$3,IF(AND(M338=$AH$4,$O339=12),$AH$3,IF(AND(M338=$AI$4,$O339=12),$AI$3,IF(AND(M338=$AJ$4,$O339=12),$AJ$3,IF(AND(M338=$AK$4,$O339=12),$AK$3,IF(AND(M338=$AL$4,$O339=12),$AL$3,IF(AND(M338=$AM$4,$O339=12),$AM$3,IF(AND(M338=$AN$4,$O339=12),$AN$3,IF(AND(M338=$AO$4,$O339=12),$AO$3,IF(AND(M338=$AP$4,$O339=12),$AJ$3," "))))))))))))))))))))))))</f>
        <v>Year 11</v>
      </c>
      <c r="N337" s="104"/>
      <c r="Q337" s="195"/>
      <c r="R337" s="121" t="str">
        <f t="shared" si="563"/>
        <v>Tuition (Spring)</v>
      </c>
      <c r="S337" s="120">
        <f t="shared" ref="S337:AB337" si="572">IF(RIGHT($R337,8)="(Summer)",0,ROUND(S318*HLOOKUP(S330,CoPI_3_GRARateTbl,5,FALSE)/2,0))</f>
        <v>0</v>
      </c>
      <c r="T337" s="120">
        <f t="shared" si="572"/>
        <v>0</v>
      </c>
      <c r="U337" s="120">
        <f t="shared" si="572"/>
        <v>0</v>
      </c>
      <c r="V337" s="120">
        <f t="shared" si="572"/>
        <v>0</v>
      </c>
      <c r="W337" s="120">
        <f t="shared" si="572"/>
        <v>0</v>
      </c>
      <c r="X337" s="120">
        <f t="shared" si="572"/>
        <v>0</v>
      </c>
      <c r="Y337" s="120">
        <f t="shared" si="572"/>
        <v>0</v>
      </c>
      <c r="Z337" s="120">
        <f t="shared" si="572"/>
        <v>0</v>
      </c>
      <c r="AA337" s="120">
        <f t="shared" si="572"/>
        <v>0</v>
      </c>
      <c r="AB337" s="120">
        <f t="shared" si="572"/>
        <v>0</v>
      </c>
    </row>
    <row r="338" spans="1:28" x14ac:dyDescent="0.35">
      <c r="A338" s="200" t="s">
        <v>29</v>
      </c>
      <c r="B338" s="55" t="str">
        <f t="shared" ref="B338:I338" si="573">+N$2</f>
        <v>FY2023</v>
      </c>
      <c r="C338" s="55" t="str">
        <f t="shared" si="573"/>
        <v>FY2024</v>
      </c>
      <c r="D338" s="55" t="str">
        <f t="shared" si="573"/>
        <v>FY2025</v>
      </c>
      <c r="E338" s="55" t="str">
        <f t="shared" si="573"/>
        <v>FY2026</v>
      </c>
      <c r="F338" s="55" t="str">
        <f t="shared" si="573"/>
        <v>FY2027</v>
      </c>
      <c r="G338" s="55" t="str">
        <f t="shared" si="573"/>
        <v>FY2028</v>
      </c>
      <c r="H338" s="55" t="str">
        <f t="shared" si="573"/>
        <v>FY2029</v>
      </c>
      <c r="I338" s="55" t="str">
        <f t="shared" si="573"/>
        <v>FY2030</v>
      </c>
      <c r="J338" s="55" t="str">
        <f t="shared" ref="J338" si="574">+V$2</f>
        <v>FY2031</v>
      </c>
      <c r="K338" s="55" t="str">
        <f t="shared" ref="K338:M338" si="575">+W$2</f>
        <v>FY2032</v>
      </c>
      <c r="L338" s="55" t="str">
        <f t="shared" si="575"/>
        <v>FY2033</v>
      </c>
      <c r="M338" s="55" t="str">
        <f t="shared" si="575"/>
        <v>FY2034</v>
      </c>
      <c r="N338" s="55"/>
      <c r="O338" s="32" t="s">
        <v>20</v>
      </c>
      <c r="P338" s="89" t="s">
        <v>64</v>
      </c>
      <c r="Q338" s="204"/>
      <c r="R338" s="121" t="str">
        <f t="shared" si="563"/>
        <v>Tuition (Summer)</v>
      </c>
      <c r="S338" s="120">
        <f t="shared" ref="S338:AB338" si="576">IF(RIGHT($R338,8)="(Summer)",0,ROUND(S319*HLOOKUP(S331,CoPI_3_GRARateTbl,5,FALSE)/2,0))</f>
        <v>0</v>
      </c>
      <c r="T338" s="120">
        <f t="shared" si="576"/>
        <v>0</v>
      </c>
      <c r="U338" s="120">
        <f t="shared" si="576"/>
        <v>0</v>
      </c>
      <c r="V338" s="120">
        <f t="shared" si="576"/>
        <v>0</v>
      </c>
      <c r="W338" s="120">
        <f t="shared" si="576"/>
        <v>0</v>
      </c>
      <c r="X338" s="120">
        <f t="shared" si="576"/>
        <v>0</v>
      </c>
      <c r="Y338" s="120">
        <f t="shared" si="576"/>
        <v>0</v>
      </c>
      <c r="Z338" s="120">
        <f t="shared" si="576"/>
        <v>0</v>
      </c>
      <c r="AA338" s="120">
        <f t="shared" si="576"/>
        <v>0</v>
      </c>
      <c r="AB338" s="120">
        <f t="shared" si="576"/>
        <v>0</v>
      </c>
    </row>
    <row r="339" spans="1:28" x14ac:dyDescent="0.35">
      <c r="A339" s="201" t="str">
        <f>CONCATENATE("Base Salary: ",O339," month term")</f>
        <v>Base Salary: 12 month term</v>
      </c>
      <c r="B339" s="314">
        <v>0</v>
      </c>
      <c r="C339" s="109">
        <f>B339</f>
        <v>0</v>
      </c>
      <c r="D339" s="109">
        <f t="shared" ref="D339:M339" si="577">ROUND(+C339*(1+$P$339),0)</f>
        <v>0</v>
      </c>
      <c r="E339" s="109">
        <f t="shared" si="577"/>
        <v>0</v>
      </c>
      <c r="F339" s="109">
        <f t="shared" si="577"/>
        <v>0</v>
      </c>
      <c r="G339" s="109">
        <f t="shared" si="577"/>
        <v>0</v>
      </c>
      <c r="H339" s="109">
        <f t="shared" si="577"/>
        <v>0</v>
      </c>
      <c r="I339" s="109">
        <f t="shared" si="577"/>
        <v>0</v>
      </c>
      <c r="J339" s="109">
        <f t="shared" si="577"/>
        <v>0</v>
      </c>
      <c r="K339" s="109">
        <f t="shared" si="577"/>
        <v>0</v>
      </c>
      <c r="L339" s="109">
        <f t="shared" si="577"/>
        <v>0</v>
      </c>
      <c r="M339" s="109">
        <f t="shared" si="577"/>
        <v>0</v>
      </c>
      <c r="N339" s="109"/>
      <c r="O339" s="311">
        <v>12</v>
      </c>
      <c r="P339" s="312">
        <v>0.03</v>
      </c>
      <c r="Q339" s="206"/>
      <c r="R339" s="121" t="str">
        <f t="shared" si="563"/>
        <v>Health Insurance (Fall)</v>
      </c>
      <c r="S339" s="120">
        <f t="shared" ref="S339:AB339" si="578">IF(RIGHT($R339,8)="(Summer)",0,ROUND(S317*HLOOKUP(S329,CoPI_3_GRARateTbl,6,FALSE)/2,0))</f>
        <v>0</v>
      </c>
      <c r="T339" s="120">
        <f t="shared" si="578"/>
        <v>0</v>
      </c>
      <c r="U339" s="120">
        <f t="shared" si="578"/>
        <v>0</v>
      </c>
      <c r="V339" s="120">
        <f t="shared" si="578"/>
        <v>0</v>
      </c>
      <c r="W339" s="120">
        <f t="shared" si="578"/>
        <v>0</v>
      </c>
      <c r="X339" s="120">
        <f t="shared" si="578"/>
        <v>0</v>
      </c>
      <c r="Y339" s="120">
        <f t="shared" si="578"/>
        <v>0</v>
      </c>
      <c r="Z339" s="120">
        <f t="shared" si="578"/>
        <v>0</v>
      </c>
      <c r="AA339" s="120">
        <f t="shared" si="578"/>
        <v>0</v>
      </c>
      <c r="AB339" s="120">
        <f t="shared" si="578"/>
        <v>0</v>
      </c>
    </row>
    <row r="340" spans="1:28" x14ac:dyDescent="0.35">
      <c r="A340" s="201" t="s">
        <v>44</v>
      </c>
      <c r="B340" s="313">
        <v>0</v>
      </c>
      <c r="C340" s="313">
        <v>0</v>
      </c>
      <c r="D340" s="313">
        <v>0</v>
      </c>
      <c r="E340" s="313">
        <v>0</v>
      </c>
      <c r="F340" s="313">
        <v>0</v>
      </c>
      <c r="G340" s="313">
        <v>0</v>
      </c>
      <c r="H340" s="313">
        <v>0</v>
      </c>
      <c r="I340" s="313">
        <v>0</v>
      </c>
      <c r="J340" s="313">
        <v>0</v>
      </c>
      <c r="K340" s="313">
        <v>0</v>
      </c>
      <c r="L340" s="313">
        <v>0</v>
      </c>
      <c r="M340" s="313">
        <v>0</v>
      </c>
      <c r="N340" s="402"/>
      <c r="O340" s="25"/>
      <c r="P340" s="25"/>
      <c r="Q340" s="201"/>
      <c r="R340" s="121" t="str">
        <f t="shared" si="563"/>
        <v>Health Insurance (Spring)</v>
      </c>
      <c r="S340" s="120">
        <f t="shared" ref="S340:AB340" si="579">IF(RIGHT($R340,8)="(Summer)",0,ROUND(S318*HLOOKUP(S330,CoPI_3_GRARateTbl,6,FALSE)/2,0))</f>
        <v>0</v>
      </c>
      <c r="T340" s="120">
        <f t="shared" si="579"/>
        <v>0</v>
      </c>
      <c r="U340" s="120">
        <f t="shared" si="579"/>
        <v>0</v>
      </c>
      <c r="V340" s="120">
        <f t="shared" si="579"/>
        <v>0</v>
      </c>
      <c r="W340" s="120">
        <f t="shared" si="579"/>
        <v>0</v>
      </c>
      <c r="X340" s="120">
        <f t="shared" si="579"/>
        <v>0</v>
      </c>
      <c r="Y340" s="120">
        <f t="shared" si="579"/>
        <v>0</v>
      </c>
      <c r="Z340" s="120">
        <f t="shared" si="579"/>
        <v>0</v>
      </c>
      <c r="AA340" s="120">
        <f t="shared" si="579"/>
        <v>0</v>
      </c>
      <c r="AB340" s="120">
        <f t="shared" si="579"/>
        <v>0</v>
      </c>
    </row>
    <row r="341" spans="1:28" x14ac:dyDescent="0.35">
      <c r="A341" s="201" t="str">
        <f>CONCATENATE("FTE for ",O339," Months")</f>
        <v>FTE for 12 Months</v>
      </c>
      <c r="B341" s="395">
        <f t="shared" ref="B341:L341" si="580">+B340/$O339</f>
        <v>0</v>
      </c>
      <c r="C341" s="395">
        <f t="shared" si="580"/>
        <v>0</v>
      </c>
      <c r="D341" s="395">
        <f t="shared" si="580"/>
        <v>0</v>
      </c>
      <c r="E341" s="395">
        <f t="shared" si="580"/>
        <v>0</v>
      </c>
      <c r="F341" s="395">
        <f t="shared" si="580"/>
        <v>0</v>
      </c>
      <c r="G341" s="395">
        <f t="shared" si="580"/>
        <v>0</v>
      </c>
      <c r="H341" s="395">
        <f t="shared" si="580"/>
        <v>0</v>
      </c>
      <c r="I341" s="395">
        <f t="shared" si="580"/>
        <v>0</v>
      </c>
      <c r="J341" s="395">
        <f t="shared" si="580"/>
        <v>0</v>
      </c>
      <c r="K341" s="395">
        <f t="shared" si="580"/>
        <v>0</v>
      </c>
      <c r="L341" s="395">
        <f t="shared" si="580"/>
        <v>0</v>
      </c>
      <c r="M341" s="395">
        <f t="shared" ref="M341" si="581">+M340/$O339</f>
        <v>0</v>
      </c>
      <c r="N341" s="403"/>
      <c r="O341" s="89"/>
      <c r="P341" s="89"/>
      <c r="Q341" s="204"/>
      <c r="R341" s="121" t="str">
        <f t="shared" si="563"/>
        <v>Health Insurance (Summer)</v>
      </c>
      <c r="S341" s="120">
        <f t="shared" ref="S341:AB341" si="582">IF(RIGHT($R341,8)="(Summer)",0,ROUND(S319*HLOOKUP(S331,CoPI_3_GRARateTbl,6,FALSE)/2,0))</f>
        <v>0</v>
      </c>
      <c r="T341" s="120">
        <f t="shared" si="582"/>
        <v>0</v>
      </c>
      <c r="U341" s="120">
        <f t="shared" si="582"/>
        <v>0</v>
      </c>
      <c r="V341" s="120">
        <f t="shared" si="582"/>
        <v>0</v>
      </c>
      <c r="W341" s="120">
        <f t="shared" si="582"/>
        <v>0</v>
      </c>
      <c r="X341" s="120">
        <f t="shared" si="582"/>
        <v>0</v>
      </c>
      <c r="Y341" s="120">
        <f t="shared" si="582"/>
        <v>0</v>
      </c>
      <c r="Z341" s="120">
        <f t="shared" si="582"/>
        <v>0</v>
      </c>
      <c r="AA341" s="120">
        <f t="shared" si="582"/>
        <v>0</v>
      </c>
      <c r="AB341" s="120">
        <f t="shared" si="582"/>
        <v>0</v>
      </c>
    </row>
    <row r="342" spans="1:28" ht="15" thickBot="1" x14ac:dyDescent="0.4">
      <c r="A342" s="201" t="s">
        <v>21</v>
      </c>
      <c r="B342" s="110">
        <f t="shared" ref="B342:K342" si="583">ROUND((B339*B341*$Q$35)+(C339*B341*$Q$36),0)</f>
        <v>0</v>
      </c>
      <c r="C342" s="110">
        <f t="shared" si="583"/>
        <v>0</v>
      </c>
      <c r="D342" s="110">
        <f t="shared" si="583"/>
        <v>0</v>
      </c>
      <c r="E342" s="110">
        <f t="shared" si="583"/>
        <v>0</v>
      </c>
      <c r="F342" s="110">
        <f t="shared" si="583"/>
        <v>0</v>
      </c>
      <c r="G342" s="110">
        <f t="shared" si="583"/>
        <v>0</v>
      </c>
      <c r="H342" s="110">
        <f t="shared" si="583"/>
        <v>0</v>
      </c>
      <c r="I342" s="110">
        <f t="shared" si="583"/>
        <v>0</v>
      </c>
      <c r="J342" s="110">
        <f t="shared" si="583"/>
        <v>0</v>
      </c>
      <c r="K342" s="110">
        <f t="shared" si="583"/>
        <v>0</v>
      </c>
      <c r="L342" s="110">
        <f>ROUND((L339*L341*$Q$35)+(N339*L341*$Q$36),0)</f>
        <v>0</v>
      </c>
      <c r="M342" s="110">
        <f>ROUND((M339*M341*$Q$35)+(O339*M341*$Q$36),0)</f>
        <v>0</v>
      </c>
      <c r="N342" s="404"/>
      <c r="O342" s="89"/>
      <c r="P342" s="89"/>
      <c r="Q342" s="204"/>
      <c r="R342" s="38" t="s">
        <v>31</v>
      </c>
      <c r="S342" s="39">
        <f>SUM(S333:S341)</f>
        <v>0</v>
      </c>
      <c r="T342" s="39">
        <f>SUM(T333:T341)</f>
        <v>0</v>
      </c>
      <c r="U342" s="39">
        <f>SUM(U333:U341)</f>
        <v>0</v>
      </c>
      <c r="V342" s="39">
        <f>SUM(V333:V341)</f>
        <v>0</v>
      </c>
      <c r="W342" s="39">
        <f t="shared" ref="W342" si="584">SUM(W333:W341)</f>
        <v>0</v>
      </c>
      <c r="X342" s="39">
        <f t="shared" ref="X342" si="585">SUM(X333:X341)</f>
        <v>0</v>
      </c>
      <c r="Y342" s="39">
        <f t="shared" ref="Y342" si="586">SUM(Y333:Y341)</f>
        <v>0</v>
      </c>
      <c r="Z342" s="39">
        <f t="shared" ref="Z342" si="587">SUM(Z333:Z341)</f>
        <v>0</v>
      </c>
      <c r="AA342" s="39">
        <f t="shared" ref="AA342" si="588">SUM(AA333:AA341)</f>
        <v>0</v>
      </c>
      <c r="AB342" s="39">
        <f t="shared" ref="AB342" si="589">SUM(AB333:AB341)</f>
        <v>0</v>
      </c>
    </row>
    <row r="343" spans="1:28" x14ac:dyDescent="0.35">
      <c r="Q343" s="204"/>
      <c r="R343" s="228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</row>
    <row r="345" spans="1:28" x14ac:dyDescent="0.35">
      <c r="A345" s="193" t="str">
        <f ca="1">+A18</f>
        <v>Co-PI Budget (4)</v>
      </c>
      <c r="B345" s="164"/>
      <c r="C345" s="164"/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</row>
    <row r="346" spans="1:28" x14ac:dyDescent="0.35">
      <c r="A346" s="138" t="s">
        <v>50</v>
      </c>
      <c r="B346" s="211" t="str">
        <f>+B18</f>
        <v>Co-PI</v>
      </c>
      <c r="C346" s="164"/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</row>
    <row r="347" spans="1:28" x14ac:dyDescent="0.35">
      <c r="A347" s="138" t="s">
        <v>53</v>
      </c>
      <c r="B347" s="333" t="s">
        <v>57</v>
      </c>
      <c r="C347" s="164"/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</row>
    <row r="348" spans="1:28" x14ac:dyDescent="0.35">
      <c r="A348" s="138" t="s">
        <v>53</v>
      </c>
      <c r="B348" s="333" t="s">
        <v>57</v>
      </c>
      <c r="C348" s="164"/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</row>
    <row r="349" spans="1:28" x14ac:dyDescent="0.35">
      <c r="A349" s="138" t="s">
        <v>113</v>
      </c>
      <c r="B349" s="334" t="s">
        <v>95</v>
      </c>
      <c r="C349" s="164"/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</row>
    <row r="350" spans="1:28" x14ac:dyDescent="0.35">
      <c r="A350" s="138" t="s">
        <v>134</v>
      </c>
      <c r="B350" s="334" t="str">
        <f>+$B$26</f>
        <v>On</v>
      </c>
      <c r="C350" s="164"/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</row>
    <row r="351" spans="1:28" x14ac:dyDescent="0.35">
      <c r="A351" s="164"/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</row>
    <row r="352" spans="1:28" x14ac:dyDescent="0.35">
      <c r="A352" s="138" t="s">
        <v>97</v>
      </c>
      <c r="B352" s="335" t="s">
        <v>95</v>
      </c>
      <c r="C352" s="164"/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</row>
    <row r="353" spans="1:17" x14ac:dyDescent="0.35">
      <c r="A353" s="138" t="s">
        <v>98</v>
      </c>
      <c r="B353" s="335" t="s">
        <v>95</v>
      </c>
      <c r="C353" s="164"/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</row>
    <row r="354" spans="1:17" x14ac:dyDescent="0.35">
      <c r="A354" s="164"/>
      <c r="B354" s="166"/>
      <c r="C354" s="164"/>
      <c r="D354" s="164"/>
      <c r="E354" s="164"/>
      <c r="F354" s="164"/>
      <c r="G354" s="164"/>
      <c r="H354" s="164"/>
      <c r="I354" s="165"/>
      <c r="J354" s="165"/>
      <c r="K354" s="165"/>
      <c r="L354" s="165"/>
      <c r="M354" s="165"/>
      <c r="N354" s="165"/>
      <c r="O354" s="165"/>
      <c r="Q354" s="102"/>
    </row>
    <row r="355" spans="1:17" x14ac:dyDescent="0.35">
      <c r="A355" s="138" t="s">
        <v>100</v>
      </c>
      <c r="B355" s="167" t="str">
        <f>+$B$31</f>
        <v>FY2024</v>
      </c>
      <c r="C355" s="167" t="str">
        <f>+$C$31</f>
        <v>FY2025</v>
      </c>
      <c r="D355" s="167" t="str">
        <f>+$D$31</f>
        <v>FY2026</v>
      </c>
      <c r="E355" s="167" t="str">
        <f>+$E$31</f>
        <v>FY2027</v>
      </c>
      <c r="F355" s="167" t="str">
        <f>+$F$31</f>
        <v>FY2028</v>
      </c>
      <c r="G355" s="167" t="str">
        <f>+$G$31</f>
        <v>FY2029</v>
      </c>
      <c r="H355" s="167" t="str">
        <f>+$H$31</f>
        <v>FY2030</v>
      </c>
      <c r="I355" s="167" t="str">
        <f>CONCATENATE("FY",$AD$3+7)</f>
        <v>FY2031</v>
      </c>
      <c r="J355" s="167" t="str">
        <f>CONCATENATE("FY",$AD$3+8)</f>
        <v>FY2032</v>
      </c>
      <c r="K355" s="167" t="str">
        <f>CONCATENATE("FY",$AD$3+9)</f>
        <v>FY2033</v>
      </c>
      <c r="L355" s="167" t="str">
        <f>CONCATENATE("FY",$AD$3+10)</f>
        <v>FY2034</v>
      </c>
      <c r="M355" s="167" t="str">
        <f>CONCATENATE("FY",$AD$3+11)</f>
        <v>FY2035</v>
      </c>
      <c r="N355" s="165"/>
      <c r="O355" s="165"/>
      <c r="Q355" s="102"/>
    </row>
    <row r="356" spans="1:17" x14ac:dyDescent="0.35">
      <c r="A356" s="138" t="str">
        <f>IF(AND(B349="Contract College",B$6="Federal"),"   Contract (Federal) - Senior Personnel",IF(AND(B349="Contract College",B$6="Non-federal"),"   Contract (Non-federal) - Senior Personnel","   Endowed - Senior Personnel"))</f>
        <v xml:space="preserve">   Endowed - Senior Personnel</v>
      </c>
      <c r="B356" s="400">
        <f t="shared" ref="B356:M356" si="590">IF(AND($B349="Contract College",$B$6="Federal"),HLOOKUP(B355,FringeAndIDCRates,2,FALSE),IF(AND($B349="Contract College",$B$6="Non-Federal"),HLOOKUP(B355,FringeAndIDCRates,3,FALSE),HLOOKUP(B355,FringeAndIDCRates,4,FALSE)))</f>
        <v>0.37</v>
      </c>
      <c r="C356" s="400">
        <f t="shared" si="590"/>
        <v>0.37</v>
      </c>
      <c r="D356" s="400">
        <f t="shared" si="590"/>
        <v>0.37</v>
      </c>
      <c r="E356" s="400">
        <f t="shared" si="590"/>
        <v>0.37</v>
      </c>
      <c r="F356" s="400">
        <f t="shared" si="590"/>
        <v>0.37</v>
      </c>
      <c r="G356" s="400">
        <f t="shared" si="590"/>
        <v>0.37</v>
      </c>
      <c r="H356" s="400">
        <f t="shared" si="590"/>
        <v>0.37</v>
      </c>
      <c r="I356" s="400">
        <f t="shared" si="590"/>
        <v>0.37</v>
      </c>
      <c r="J356" s="400">
        <f t="shared" si="590"/>
        <v>0.37</v>
      </c>
      <c r="K356" s="400">
        <f t="shared" si="590"/>
        <v>0.37</v>
      </c>
      <c r="L356" s="400">
        <f t="shared" si="590"/>
        <v>0.37</v>
      </c>
      <c r="M356" s="400">
        <f t="shared" si="590"/>
        <v>0.37</v>
      </c>
      <c r="N356" s="165"/>
      <c r="O356" s="165"/>
      <c r="Q356" s="102"/>
    </row>
    <row r="357" spans="1:17" x14ac:dyDescent="0.35">
      <c r="A357" s="138" t="str">
        <f>IF(AND(B$6="Federal",B352="Contract College"),"   Contract (Federal) - Post Doc",IF(AND(B$6="Non-federal",B352="Contract College"),"   Contract (Non-federal) - Post Doc","   Endowed - Post Doc"))</f>
        <v xml:space="preserve">   Endowed - Post Doc</v>
      </c>
      <c r="B357" s="400">
        <f t="shared" ref="B357:M357" si="591">IF($B352="Endowed College",HLOOKUP(B$31,FringeAndIDCRates,4,FALSE),IF($B$6="Federal",HLOOKUP(B$31,FringeAndIDCRates,2,FALSE),IF($B$6="Non-Federal",HLOOKUP(B$31,FringeAndIDCRates,3,FALSE))))</f>
        <v>0.37</v>
      </c>
      <c r="C357" s="400">
        <f t="shared" si="591"/>
        <v>0.37</v>
      </c>
      <c r="D357" s="400">
        <f t="shared" si="591"/>
        <v>0.37</v>
      </c>
      <c r="E357" s="400">
        <f t="shared" si="591"/>
        <v>0.37</v>
      </c>
      <c r="F357" s="400">
        <f t="shared" si="591"/>
        <v>0.37</v>
      </c>
      <c r="G357" s="400">
        <f t="shared" si="591"/>
        <v>0.37</v>
      </c>
      <c r="H357" s="400">
        <f t="shared" si="591"/>
        <v>0.37</v>
      </c>
      <c r="I357" s="400">
        <f t="shared" si="591"/>
        <v>0.37</v>
      </c>
      <c r="J357" s="400">
        <f t="shared" si="591"/>
        <v>0.37</v>
      </c>
      <c r="K357" s="400">
        <f t="shared" si="591"/>
        <v>0.37</v>
      </c>
      <c r="L357" s="400">
        <f t="shared" si="591"/>
        <v>0.37</v>
      </c>
      <c r="M357" s="400">
        <f t="shared" si="591"/>
        <v>0.37</v>
      </c>
      <c r="N357" s="165"/>
      <c r="O357" s="165"/>
      <c r="Q357" s="102"/>
    </row>
    <row r="358" spans="1:17" x14ac:dyDescent="0.35">
      <c r="A358" s="138" t="str">
        <f>IF(AND(B$6="Federal",B353="Contract College"),"   Contract (Federal) - Other Employee",IF(AND(B$6="Non-federal",B353="Contract College"),"   Contract (Non-federal) - Other Empolyee","   Endowed - Other Employee"))</f>
        <v xml:space="preserve">   Endowed - Other Employee</v>
      </c>
      <c r="B358" s="400">
        <f t="shared" ref="B358:M358" si="592">IF($B353="Endowed College",HLOOKUP(B$31,FringeAndIDCRates,4,FALSE),IF($B$6="Federal",HLOOKUP(B$31,FringeAndIDCRates,2,FALSE),IF($B$6="Non-Federal",HLOOKUP(B$31,FringeAndIDCRates,3,FALSE))))</f>
        <v>0.37</v>
      </c>
      <c r="C358" s="400">
        <f t="shared" si="592"/>
        <v>0.37</v>
      </c>
      <c r="D358" s="400">
        <f t="shared" si="592"/>
        <v>0.37</v>
      </c>
      <c r="E358" s="400">
        <f t="shared" si="592"/>
        <v>0.37</v>
      </c>
      <c r="F358" s="400">
        <f t="shared" si="592"/>
        <v>0.37</v>
      </c>
      <c r="G358" s="400">
        <f t="shared" si="592"/>
        <v>0.37</v>
      </c>
      <c r="H358" s="400">
        <f t="shared" si="592"/>
        <v>0.37</v>
      </c>
      <c r="I358" s="400">
        <f t="shared" si="592"/>
        <v>0.37</v>
      </c>
      <c r="J358" s="400">
        <f t="shared" si="592"/>
        <v>0.37</v>
      </c>
      <c r="K358" s="400">
        <f t="shared" si="592"/>
        <v>0.37</v>
      </c>
      <c r="L358" s="400">
        <f t="shared" si="592"/>
        <v>0.37</v>
      </c>
      <c r="M358" s="400">
        <f t="shared" si="592"/>
        <v>0.37</v>
      </c>
      <c r="N358" s="165"/>
      <c r="O358" s="165"/>
      <c r="Q358" s="102"/>
    </row>
    <row r="359" spans="1:17" x14ac:dyDescent="0.35">
      <c r="A359" s="138" t="str">
        <f>CONCATENATE("Cornell IDC Rate - ",B349)</f>
        <v>Cornell IDC Rate - Endowed College</v>
      </c>
      <c r="B359" s="400">
        <f t="shared" ref="B359:M359" si="593">IF($B350="Off",(HLOOKUP(B$31,FringeAndIDCRates,8,FALSE)),IF(AND($B$7="Other",$B350="On"),(HLOOKUP(B$31,FringeAndIDCRates,7,FALSE)),IF(AND($B350="On",$B349="Contract College",$B$7="Research"),(HLOOKUP(B$31,FringeAndIDCRates,5,FALSE)),(HLOOKUP(B$31,FringeAndIDCRates,6,FALSE)))))</f>
        <v>0.64</v>
      </c>
      <c r="C359" s="400">
        <f t="shared" si="593"/>
        <v>0.64</v>
      </c>
      <c r="D359" s="400">
        <f t="shared" si="593"/>
        <v>0.64</v>
      </c>
      <c r="E359" s="400">
        <f t="shared" si="593"/>
        <v>0.64</v>
      </c>
      <c r="F359" s="400">
        <f t="shared" si="593"/>
        <v>0.64</v>
      </c>
      <c r="G359" s="400">
        <f t="shared" si="593"/>
        <v>0.64</v>
      </c>
      <c r="H359" s="400">
        <f t="shared" si="593"/>
        <v>0.64</v>
      </c>
      <c r="I359" s="400">
        <f t="shared" si="593"/>
        <v>0.64</v>
      </c>
      <c r="J359" s="400">
        <f t="shared" si="593"/>
        <v>0.64</v>
      </c>
      <c r="K359" s="400">
        <f t="shared" si="593"/>
        <v>0.64</v>
      </c>
      <c r="L359" s="400">
        <f t="shared" si="593"/>
        <v>0.64</v>
      </c>
      <c r="M359" s="400">
        <f t="shared" si="593"/>
        <v>0.64</v>
      </c>
      <c r="N359" s="165"/>
      <c r="O359" s="165"/>
      <c r="Q359" s="102"/>
    </row>
    <row r="360" spans="1:17" x14ac:dyDescent="0.35">
      <c r="A360" s="138" t="str">
        <f>IF($B$8="Yes","","Rate Allowed by Sponsor:")</f>
        <v/>
      </c>
      <c r="B360" s="167" t="str">
        <f t="shared" ref="B360:M360" si="594">IF($B$8="Yes","",IF($B$8="No",HLOOKUP(B$31,FringeAndIDCRates,9,FALSE),(HLOOKUP(B$31,FringeAndIDCRates,9,FALSE))))</f>
        <v/>
      </c>
      <c r="C360" s="167" t="str">
        <f t="shared" si="594"/>
        <v/>
      </c>
      <c r="D360" s="167" t="str">
        <f t="shared" si="594"/>
        <v/>
      </c>
      <c r="E360" s="167" t="str">
        <f t="shared" si="594"/>
        <v/>
      </c>
      <c r="F360" s="167" t="str">
        <f t="shared" si="594"/>
        <v/>
      </c>
      <c r="G360" s="167" t="str">
        <f t="shared" si="594"/>
        <v/>
      </c>
      <c r="H360" s="167" t="str">
        <f t="shared" si="594"/>
        <v/>
      </c>
      <c r="I360" s="167" t="str">
        <f t="shared" si="594"/>
        <v/>
      </c>
      <c r="J360" s="167" t="str">
        <f t="shared" si="594"/>
        <v/>
      </c>
      <c r="K360" s="167" t="str">
        <f t="shared" si="594"/>
        <v/>
      </c>
      <c r="L360" s="167" t="str">
        <f t="shared" si="594"/>
        <v/>
      </c>
      <c r="M360" s="167" t="str">
        <f t="shared" si="594"/>
        <v/>
      </c>
      <c r="N360" s="241"/>
      <c r="O360" s="241"/>
      <c r="Q360" s="102"/>
    </row>
    <row r="361" spans="1:17" x14ac:dyDescent="0.35">
      <c r="B361" s="53"/>
      <c r="C361" s="53"/>
      <c r="D361" s="53"/>
      <c r="E361" s="53"/>
      <c r="F361" s="53"/>
      <c r="G361" s="53"/>
      <c r="H361" s="53"/>
    </row>
    <row r="362" spans="1:17" ht="20" x14ac:dyDescent="0.4">
      <c r="A362" s="40" t="s">
        <v>55</v>
      </c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</row>
    <row r="363" spans="1:17" ht="15.5" x14ac:dyDescent="0.35">
      <c r="A363" s="105" t="s">
        <v>87</v>
      </c>
      <c r="B363" s="106" t="str">
        <f>IF(B366=$AE$5,$AE$8,IF(B366=$AF$5,$AF$8,IF(B366=$AG$5,$AG$8,IF(B366=$AH$5,$AH$8,IF(B366=$AI$5,$AI$8,IF(B366=$AJ$5,$AJ$8,IF(B366=$AK$5,$AK$8,IF(B366=$AL$5,$AL$8,IF(B366=$AM$5,$AM$8,IF(B366=$AN$5,$AN$8,IF(B366=$AO$5,$AO$8,IF(B366=$AP$5,$AP$8," "))))))))))))</f>
        <v xml:space="preserve"> </v>
      </c>
      <c r="C363" s="106" t="str">
        <f t="shared" ref="C363:M363" si="595">IF(C366=$AE$5,$AE$8,IF(C366=$AF$5,$AF$8,IF(C366=$AG$5,$AG$8,IF(C366=$AH$5,$AH$8,IF(C366=$AI$5,$AI$8,IF(C366=$AJ$5,$AJ$8,IF(C366=$AK$5,$AK$8,IF(C366=$AL$5,$AL$8,IF(C366=$AM$5,$AM$8,IF(C366=$AN$5,$AN$8,IF(C366=$AO$5,$AO$8,IF(C366=$AP$5,$AP$8," "))))))))))))</f>
        <v>2023-2024</v>
      </c>
      <c r="D363" s="106" t="str">
        <f t="shared" si="595"/>
        <v>2024-2025</v>
      </c>
      <c r="E363" s="106" t="str">
        <f t="shared" si="595"/>
        <v>2025-2026</v>
      </c>
      <c r="F363" s="106" t="str">
        <f t="shared" si="595"/>
        <v>2026-2027</v>
      </c>
      <c r="G363" s="106" t="str">
        <f t="shared" si="595"/>
        <v>2027-2028</v>
      </c>
      <c r="H363" s="106" t="str">
        <f t="shared" si="595"/>
        <v>2028-2029</v>
      </c>
      <c r="I363" s="106" t="str">
        <f t="shared" si="595"/>
        <v>2029-2030</v>
      </c>
      <c r="J363" s="106" t="str">
        <f t="shared" si="595"/>
        <v>2030-2031</v>
      </c>
      <c r="K363" s="106" t="str">
        <f t="shared" si="595"/>
        <v>2031-2032</v>
      </c>
      <c r="L363" s="106" t="str">
        <f t="shared" si="595"/>
        <v>2032-2033</v>
      </c>
      <c r="M363" s="106" t="str">
        <f t="shared" si="595"/>
        <v>2033-2034</v>
      </c>
      <c r="N363" s="106" t="str">
        <f t="shared" ref="N363" si="596">IF(N366=$AE$5,$AE$8,IF(N366=$AF$5,$AF$8,IF(N366=$AG$5,$AG$8,IF(N366=$AH$5,$AH$8,IF(N366=$AI$5,$AI$8,IF(N366=$AJ$5,$AJ$8,IF(N366=$AK$5,$AK$8,IF(N366=$AL$5,$AL$8,IF(N366=$AM$5,$AM$8,IF(N366=$AN$5,$AN$8,IF(N366=$AO$5,$AO$8,IF(N366=$AP$5,$AP$8," "))))))))))))</f>
        <v>2034-2035</v>
      </c>
    </row>
    <row r="365" spans="1:17" x14ac:dyDescent="0.35">
      <c r="A365" s="175" t="str">
        <f>CONCATENATE("Calculation based on ",O367," month salary")</f>
        <v>Calculation based on 9 month salary</v>
      </c>
      <c r="B365" s="104" t="str">
        <f t="shared" ref="B365:L365" si="597">IF(AND(B366=$AE$5,$O367=9),$AE$3,IF(AND(B366=$AF$5,$O367=9),$AF$3,IF(AND(B366=$AG$5,$O367=9),$AG$3,IF(AND(B366=$AH$5,$O367=9),$AH$3,IF(AND(B366=$AI$5,$O367=9),$AI$3,IF(AND(B366=$AJ$5,$O367=9),$AJ$3,IF(AND(B366=$AK$5,$O367=9),$AK$3,IF(AND(B366=$AL$5,$O367=9),$AL$3,IF(AND(B366=$AM$5,$O367=9),$AM$3,IF(AND(B366=$AN$5,$O367=9),$AN$3,IF(AND(B366=$AO$5,$O367=9),$AO$3,IF(AND(B366=$AP$5,$O367=9),$AJ$3,IF(AND(B366=$AE$4,$O367=12),$AE$3,IF(AND(B366=$AF$4,$O367=12),$AF$3,IF(AND(B366=$AG$4,$O367=12),$AG$3,IF(AND(B366=$AH$4,$O367=12),$AH$3,IF(AND(B366=$AI$4,$O367=12),$AI$3,IF(AND(B366=$AJ$4,$O367=12),$AJ$3,IF(AND(B366=$AK$4,$O367=12),$AK$3,IF(AND(B366=$AL$4,$O367=12),$AL$3,IF(AND(B366=$AM$4,$O367=12),$AM$3,IF(AND(B366=$AN$4,$O367=12),$AN$3,IF(AND(B366=$AO$4,$O367=12),$AO$3,IF(AND(B366=$AP$4,$O367=12),$AJ$3," "))))))))))))))))))))))))</f>
        <v xml:space="preserve"> </v>
      </c>
      <c r="C365" s="104" t="str">
        <f t="shared" si="597"/>
        <v>Year 1</v>
      </c>
      <c r="D365" s="104" t="str">
        <f t="shared" si="597"/>
        <v>Year 2</v>
      </c>
      <c r="E365" s="104" t="str">
        <f t="shared" si="597"/>
        <v>Year 3</v>
      </c>
      <c r="F365" s="104" t="str">
        <f t="shared" si="597"/>
        <v>Year 4</v>
      </c>
      <c r="G365" s="104" t="str">
        <f t="shared" si="597"/>
        <v>Year 5</v>
      </c>
      <c r="H365" s="104" t="str">
        <f t="shared" si="597"/>
        <v>Year 6</v>
      </c>
      <c r="I365" s="104" t="str">
        <f t="shared" si="597"/>
        <v>Year 7</v>
      </c>
      <c r="J365" s="104" t="str">
        <f t="shared" si="597"/>
        <v>Year 8</v>
      </c>
      <c r="K365" s="104" t="str">
        <f t="shared" si="597"/>
        <v>Year 9</v>
      </c>
      <c r="L365" s="104" t="str">
        <f t="shared" si="597"/>
        <v>Year 10</v>
      </c>
      <c r="M365" s="104" t="str">
        <f>IF(AND(M366=$AE$5,$O367=9),$AE$3,IF(AND(M366=$AF$5,$O367=9),$AF$3,IF(AND(M366=$AG$5,$O367=9),$AG$3,IF(AND(M366=$AH$5,$O367=9),$AH$3,IF(AND(M366=$AI$5,$O367=9),$AI$3,IF(AND(M366=$AJ$5,$O367=9),$AJ$3,IF(AND(M366=$AK$5,$O367=9),$AK$3,IF(AND(M366=$AL$5,$O367=9),$AL$3,IF(AND(M366=$AM$5,$O367=9),$AM$3,IF(AND(M366=$AN$5,$O367=9),$AN$3,IF(AND(M366=$AO$5,$O367=9),$AO$3,IF(AND(M366=$AP$5,$O367=9),$AP$3,IF(AND(M366=$AQ$5,$O367=9),$AJ$3,IF(AND(M366=$AE$4,$O367=12),$AE$3,IF(AND(M366=$AF$4,$O367=12),$AF$3,IF(AND(M366=$AG$4,$O367=12),$AG$3,IF(AND(M366=$AH$4,$O367=12),$AH$3,IF(AND(M366=$AI$4,$O367=12),$AI$3,IF(AND(M366=$AJ$4,$O367=12),$AJ$3,IF(AND(M366=$AK$4,$O367=12),$AK$3,IF(AND(M366=$AL$4,$O367=12),$AL$3,IF(AND(M366=$AM$4,$O367=12),$AM$3,IF(AND(M366=$AN$4,$O367=12),$AN$3,IF(AND(M366=$AO$4,$O367=12),$AO$3,IF(AND(M366=$AP$4,$O367=12),$AP$3,IF(AND(M366=$AQ$4,$O367=12),$AJ$3," "))))))))))))))))))))))))))</f>
        <v>Year 11</v>
      </c>
      <c r="N365" s="104" t="str">
        <f>IF(AND(N366=$AE$5,$O367=9),$AE$3,IF(AND(N366=$AF$5,$O367=9),$AF$3,IF(AND(N366=$AG$5,$O367=9),$AG$3,IF(AND(N366=$AH$5,$O367=9),$AH$3,IF(AND(N366=$AI$5,$O367=9),$AI$3,IF(AND(N366=$AJ$5,$O367=9),$AJ$3,IF(AND(N366=$AK$5,$O367=9),$AK$3,IF(AND(N366=$AL$5,$O367=9),$AL$3,IF(AND(N366=$AM$5,$O367=9),$AM$3,IF(AND(N366=$AN$5,$O367=9),$AN$3,IF(AND(N366=$AO$5,$O367=9),$AO$3,IF(AND(N366=$AP$5,$O367=9),$AP$3,IF(AND(N366=$AQ$5,$O367=9),$AJ$3,IF(AND(N366=$AE$4,$O367=12),$AE$3,IF(AND(N366=$AF$4,$O367=12),$AF$3,IF(AND(N366=$AG$4,$O367=12),$AG$3,IF(AND(N366=$AH$4,$O367=12),$AH$3,IF(AND(N366=$AI$4,$O367=12),$AI$3,IF(AND(N366=$AJ$4,$O367=12),$AJ$3,IF(AND(N366=$AK$4,$O367=12),$AK$3,IF(AND(N366=$AL$4,$O367=12),$AL$3,IF(AND(N366=$AM$4,$O367=12),$AM$3,IF(AND(N366=$AN$4,$O367=12),$AN$3,IF(AND(N366=$AO$4,$O367=12),$AO$3,IF(AND(N366=$AP$4,$O367=12),$AP$3,IF(AND(N366=$AQ$4,$O367=12),$AJ$3," "))))))))))))))))))))))))))</f>
        <v>Year 12</v>
      </c>
    </row>
    <row r="366" spans="1:17" x14ac:dyDescent="0.35">
      <c r="A366" s="176" t="str">
        <f>+B346</f>
        <v>Co-PI</v>
      </c>
      <c r="B366" s="55" t="str">
        <f t="shared" ref="B366:I366" si="598">+N$2</f>
        <v>FY2023</v>
      </c>
      <c r="C366" s="55" t="str">
        <f t="shared" si="598"/>
        <v>FY2024</v>
      </c>
      <c r="D366" s="55" t="str">
        <f t="shared" si="598"/>
        <v>FY2025</v>
      </c>
      <c r="E366" s="55" t="str">
        <f t="shared" si="598"/>
        <v>FY2026</v>
      </c>
      <c r="F366" s="55" t="str">
        <f t="shared" si="598"/>
        <v>FY2027</v>
      </c>
      <c r="G366" s="55" t="str">
        <f t="shared" si="598"/>
        <v>FY2028</v>
      </c>
      <c r="H366" s="55" t="str">
        <f t="shared" si="598"/>
        <v>FY2029</v>
      </c>
      <c r="I366" s="55" t="str">
        <f t="shared" si="598"/>
        <v>FY2030</v>
      </c>
      <c r="J366" s="55" t="str">
        <f t="shared" ref="J366" si="599">+V$2</f>
        <v>FY2031</v>
      </c>
      <c r="K366" s="55" t="str">
        <f t="shared" ref="K366" si="600">+W$2</f>
        <v>FY2032</v>
      </c>
      <c r="L366" s="55" t="str">
        <f t="shared" ref="L366" si="601">+X$2</f>
        <v>FY2033</v>
      </c>
      <c r="M366" s="55" t="str">
        <f t="shared" ref="M366:N366" si="602">+Y$2</f>
        <v>FY2034</v>
      </c>
      <c r="N366" s="55" t="str">
        <f t="shared" si="602"/>
        <v>FY2035</v>
      </c>
      <c r="O366" s="32" t="s">
        <v>20</v>
      </c>
      <c r="P366" s="89" t="s">
        <v>64</v>
      </c>
      <c r="Q366" s="89"/>
    </row>
    <row r="367" spans="1:17" x14ac:dyDescent="0.35">
      <c r="A367" s="168" t="str">
        <f>CONCATENATE("Base Salary: ",O367," month term")</f>
        <v>Base Salary: 9 month term</v>
      </c>
      <c r="B367" s="385">
        <v>0</v>
      </c>
      <c r="C367" s="386">
        <f t="shared" ref="C367:N367" si="603">ROUND(+B367*(1+$P$367),0)</f>
        <v>0</v>
      </c>
      <c r="D367" s="386">
        <f t="shared" si="603"/>
        <v>0</v>
      </c>
      <c r="E367" s="386">
        <f t="shared" si="603"/>
        <v>0</v>
      </c>
      <c r="F367" s="386">
        <f t="shared" si="603"/>
        <v>0</v>
      </c>
      <c r="G367" s="386">
        <f t="shared" si="603"/>
        <v>0</v>
      </c>
      <c r="H367" s="386">
        <f t="shared" si="603"/>
        <v>0</v>
      </c>
      <c r="I367" s="386">
        <f t="shared" si="603"/>
        <v>0</v>
      </c>
      <c r="J367" s="386">
        <f t="shared" si="603"/>
        <v>0</v>
      </c>
      <c r="K367" s="386">
        <f t="shared" si="603"/>
        <v>0</v>
      </c>
      <c r="L367" s="386">
        <f t="shared" si="603"/>
        <v>0</v>
      </c>
      <c r="M367" s="386">
        <f t="shared" si="603"/>
        <v>0</v>
      </c>
      <c r="N367" s="386">
        <f t="shared" si="603"/>
        <v>0</v>
      </c>
      <c r="O367" s="311">
        <v>9</v>
      </c>
      <c r="P367" s="312">
        <v>0.03</v>
      </c>
      <c r="Q367" s="52"/>
    </row>
    <row r="368" spans="1:17" x14ac:dyDescent="0.35">
      <c r="A368" s="168" t="s">
        <v>44</v>
      </c>
      <c r="B368" s="313">
        <v>0</v>
      </c>
      <c r="C368" s="313">
        <v>0</v>
      </c>
      <c r="D368" s="313">
        <v>0</v>
      </c>
      <c r="E368" s="313">
        <v>0</v>
      </c>
      <c r="F368" s="313">
        <v>0</v>
      </c>
      <c r="G368" s="313">
        <v>0</v>
      </c>
      <c r="H368" s="313">
        <v>0</v>
      </c>
      <c r="I368" s="313">
        <v>0</v>
      </c>
      <c r="J368" s="313">
        <v>0</v>
      </c>
      <c r="K368" s="313">
        <v>0</v>
      </c>
      <c r="L368" s="313">
        <v>0</v>
      </c>
      <c r="M368" s="313">
        <v>0</v>
      </c>
      <c r="N368" s="313">
        <v>0</v>
      </c>
      <c r="O368" s="25"/>
      <c r="P368" s="25"/>
      <c r="Q368" s="25"/>
    </row>
    <row r="369" spans="1:23" x14ac:dyDescent="0.35">
      <c r="A369" s="168" t="str">
        <f>CONCATENATE("FTE for ",O367," Months")</f>
        <v>FTE for 9 Months</v>
      </c>
      <c r="B369" s="395">
        <f t="shared" ref="B369:M369" si="604">+B368/$O367</f>
        <v>0</v>
      </c>
      <c r="C369" s="395">
        <f t="shared" si="604"/>
        <v>0</v>
      </c>
      <c r="D369" s="395">
        <f t="shared" si="604"/>
        <v>0</v>
      </c>
      <c r="E369" s="395">
        <f t="shared" si="604"/>
        <v>0</v>
      </c>
      <c r="F369" s="395">
        <f t="shared" si="604"/>
        <v>0</v>
      </c>
      <c r="G369" s="395">
        <f t="shared" si="604"/>
        <v>0</v>
      </c>
      <c r="H369" s="395">
        <f t="shared" si="604"/>
        <v>0</v>
      </c>
      <c r="I369" s="395">
        <f t="shared" si="604"/>
        <v>0</v>
      </c>
      <c r="J369" s="395">
        <f t="shared" si="604"/>
        <v>0</v>
      </c>
      <c r="K369" s="395">
        <f t="shared" si="604"/>
        <v>0</v>
      </c>
      <c r="L369" s="395">
        <f t="shared" si="604"/>
        <v>0</v>
      </c>
      <c r="M369" s="395">
        <f t="shared" si="604"/>
        <v>0</v>
      </c>
      <c r="N369" s="395">
        <f t="shared" ref="N369" si="605">+N368/$O367</f>
        <v>0</v>
      </c>
      <c r="O369" s="89"/>
      <c r="P369" s="89"/>
      <c r="Q369" s="89"/>
    </row>
    <row r="370" spans="1:23" x14ac:dyDescent="0.35">
      <c r="A370" s="177" t="s">
        <v>56</v>
      </c>
      <c r="B370" s="396">
        <f t="shared" ref="B370:F370" si="606">+B368/12</f>
        <v>0</v>
      </c>
      <c r="C370" s="396">
        <f t="shared" si="606"/>
        <v>0</v>
      </c>
      <c r="D370" s="396">
        <f t="shared" si="606"/>
        <v>0</v>
      </c>
      <c r="E370" s="396">
        <f t="shared" si="606"/>
        <v>0</v>
      </c>
      <c r="F370" s="396">
        <f t="shared" si="606"/>
        <v>0</v>
      </c>
      <c r="G370" s="396">
        <f t="shared" ref="G370:L370" si="607">+G368/12</f>
        <v>0</v>
      </c>
      <c r="H370" s="396">
        <f t="shared" si="607"/>
        <v>0</v>
      </c>
      <c r="I370" s="396">
        <f t="shared" si="607"/>
        <v>0</v>
      </c>
      <c r="J370" s="396">
        <f t="shared" si="607"/>
        <v>0</v>
      </c>
      <c r="K370" s="396">
        <f t="shared" si="607"/>
        <v>0</v>
      </c>
      <c r="L370" s="396">
        <f t="shared" si="607"/>
        <v>0</v>
      </c>
      <c r="M370" s="396">
        <f t="shared" ref="M370:N370" si="608">+M368/12</f>
        <v>0</v>
      </c>
      <c r="N370" s="396">
        <f t="shared" si="608"/>
        <v>0</v>
      </c>
      <c r="O370" s="89"/>
      <c r="P370" s="89"/>
      <c r="Q370" s="89"/>
    </row>
    <row r="371" spans="1:23" x14ac:dyDescent="0.35">
      <c r="A371" s="168" t="s">
        <v>21</v>
      </c>
      <c r="B371" s="110">
        <f t="shared" ref="B371:K371" si="609">IF($O367=9,ROUND(B367*B369,0),IF($O367=12,ROUND((B367*B369*$Q$35)+(C367*B369*$Q$36),0),0))</f>
        <v>0</v>
      </c>
      <c r="C371" s="110">
        <f t="shared" si="609"/>
        <v>0</v>
      </c>
      <c r="D371" s="110">
        <f t="shared" si="609"/>
        <v>0</v>
      </c>
      <c r="E371" s="110">
        <f t="shared" si="609"/>
        <v>0</v>
      </c>
      <c r="F371" s="110">
        <f t="shared" si="609"/>
        <v>0</v>
      </c>
      <c r="G371" s="110">
        <f t="shared" si="609"/>
        <v>0</v>
      </c>
      <c r="H371" s="110">
        <f t="shared" si="609"/>
        <v>0</v>
      </c>
      <c r="I371" s="110">
        <f t="shared" si="609"/>
        <v>0</v>
      </c>
      <c r="J371" s="110">
        <f t="shared" si="609"/>
        <v>0</v>
      </c>
      <c r="K371" s="110">
        <f t="shared" si="609"/>
        <v>0</v>
      </c>
      <c r="L371" s="110">
        <f>IF($O367=9,ROUND(L367*L369,0),IF($O367=12,ROUND((L367*L369*$Q$35)+(N367*L369*$Q$36),0),0))</f>
        <v>0</v>
      </c>
      <c r="M371" s="110">
        <f>IF($O367=9,ROUND(M367*M369,0),IF($O367=12,ROUND((M367*M369*$Q$35)+(O367*M369*$Q$36),0),0))</f>
        <v>0</v>
      </c>
      <c r="N371" s="110">
        <f>IF($O367=9,ROUND(N367*N369,0),IF($O367=12,ROUND((N367*N369*$Q$35)+(P367*N369*$Q$36),0),0))</f>
        <v>0</v>
      </c>
      <c r="O371" s="89"/>
      <c r="P371" s="89"/>
      <c r="Q371" s="89"/>
    </row>
    <row r="372" spans="1:23" x14ac:dyDescent="0.35">
      <c r="A372" s="164"/>
      <c r="O372" s="89"/>
      <c r="P372" s="89"/>
      <c r="Q372" s="89"/>
    </row>
    <row r="373" spans="1:23" x14ac:dyDescent="0.35">
      <c r="A373" s="175" t="str">
        <f>CONCATENATE("Calculation based on ",O375," month salary")</f>
        <v>Calculation based on 9 month salary</v>
      </c>
      <c r="B373" s="104" t="str">
        <f t="shared" ref="B373:L373" si="610">IF(AND(B374=$AE$5,$O375=9),$AE$3,IF(AND(B374=$AF$5,$O375=9),$AF$3,IF(AND(B374=$AG$5,$O375=9),$AG$3,IF(AND(B374=$AH$5,$O375=9),$AH$3,IF(AND(B374=$AI$5,$O375=9),$AI$3,IF(AND(B374=$AJ$5,$O375=9),$AJ$3,IF(AND(B374=$AK$5,$O375=9),$AK$3,IF(AND(B374=$AL$5,$O375=9),$AL$3,IF(AND(B374=$AM$5,$O375=9),$AM$3,IF(AND(B374=$AN$5,$O375=9),$AN$3,IF(AND(B374=$AO$5,$O375=9),$AO$3,IF(AND(B374=$AP$5,$O375=9),$AJ$3,IF(AND(B374=$AE$4,$O375=12),$AE$3,IF(AND(B374=$AF$4,$O375=12),$AF$3,IF(AND(B374=$AG$4,$O375=12),$AG$3,IF(AND(B374=$AH$4,$O375=12),$AH$3,IF(AND(B374=$AI$4,$O375=12),$AI$3,IF(AND(B374=$AJ$4,$O375=12),$AJ$3,IF(AND(B374=$AK$4,$O375=12),$AK$3,IF(AND(B374=$AL$4,$O375=12),$AL$3,IF(AND(B374=$AM$4,$O375=12),$AM$3,IF(AND(B374=$AN$4,$O375=12),$AN$3,IF(AND(B374=$AO$4,$O375=12),$AO$3,IF(AND(B374=$AP$4,$O375=12),$AJ$3," "))))))))))))))))))))))))</f>
        <v xml:space="preserve"> </v>
      </c>
      <c r="C373" s="104" t="str">
        <f t="shared" si="610"/>
        <v>Year 1</v>
      </c>
      <c r="D373" s="104" t="str">
        <f t="shared" si="610"/>
        <v>Year 2</v>
      </c>
      <c r="E373" s="104" t="str">
        <f t="shared" si="610"/>
        <v>Year 3</v>
      </c>
      <c r="F373" s="104" t="str">
        <f t="shared" si="610"/>
        <v>Year 4</v>
      </c>
      <c r="G373" s="104" t="str">
        <f t="shared" si="610"/>
        <v>Year 5</v>
      </c>
      <c r="H373" s="104" t="str">
        <f t="shared" si="610"/>
        <v>Year 6</v>
      </c>
      <c r="I373" s="104" t="str">
        <f t="shared" si="610"/>
        <v>Year 7</v>
      </c>
      <c r="J373" s="104" t="str">
        <f t="shared" si="610"/>
        <v>Year 8</v>
      </c>
      <c r="K373" s="104" t="str">
        <f t="shared" si="610"/>
        <v>Year 9</v>
      </c>
      <c r="L373" s="104" t="str">
        <f t="shared" si="610"/>
        <v>Year 10</v>
      </c>
      <c r="M373" s="104" t="str">
        <f>IF(AND(M374=$AE$5,$O375=9),$AE$3,IF(AND(M374=$AF$5,$O375=9),$AF$3,IF(AND(M374=$AG$5,$O375=9),$AG$3,IF(AND(M374=$AH$5,$O375=9),$AH$3,IF(AND(M374=$AI$5,$O375=9),$AI$3,IF(AND(M374=$AJ$5,$O375=9),$AJ$3,IF(AND(M374=$AK$5,$O375=9),$AK$3,IF(AND(M374=$AL$5,$O375=9),$AL$3,IF(AND(M374=$AM$5,$O375=9),$AM$3,IF(AND(M374=$AN$5,$O375=9),$AN$3,IF(AND(M374=$AO$5,$O375=9),$AO$3,IF(AND(M374=$AP$5,$O375=9),$AP$3,IF(AND(M374=$AQ$5,$O375=9),$AJ$3,IF(AND(M374=$AE$4,$O375=12),$AE$3,IF(AND(M374=$AF$4,$O375=12),$AF$3,IF(AND(M374=$AG$4,$O375=12),$AG$3,IF(AND(M374=$AH$4,$O375=12),$AH$3,IF(AND(M374=$AI$4,$O375=12),$AI$3,IF(AND(M374=$AJ$4,$O375=12),$AJ$3,IF(AND(M374=$AK$4,$O375=12),$AK$3,IF(AND(M374=$AL$4,$O375=12),$AL$3,IF(AND(M374=$AM$4,$O375=12),$AM$3,IF(AND(M374=$AN$4,$O375=12),$AN$3,IF(AND(M374=$AO$4,$O375=12),$AO$3,IF(AND(M374=$AP$4,$O375=12),$AP$3,IF(AND(M374=$AQ$4,$O375=12),$AJ$3," "))))))))))))))))))))))))))</f>
        <v>Year 11</v>
      </c>
      <c r="N373" s="104" t="str">
        <f>IF(AND(N374=$AE$5,$O375=9),$AE$3,IF(AND(N374=$AF$5,$O375=9),$AF$3,IF(AND(N374=$AG$5,$O375=9),$AG$3,IF(AND(N374=$AH$5,$O375=9),$AH$3,IF(AND(N374=$AI$5,$O375=9),$AI$3,IF(AND(N374=$AJ$5,$O375=9),$AJ$3,IF(AND(N374=$AK$5,$O375=9),$AK$3,IF(AND(N374=$AL$5,$O375=9),$AL$3,IF(AND(N374=$AM$5,$O375=9),$AM$3,IF(AND(N374=$AN$5,$O375=9),$AN$3,IF(AND(N374=$AO$5,$O375=9),$AO$3,IF(AND(N374=$AP$5,$O375=9),$AP$3,IF(AND(N374=$AQ$5,$O375=9),$AJ$3,IF(AND(N374=$AE$4,$O375=12),$AE$3,IF(AND(N374=$AF$4,$O375=12),$AF$3,IF(AND(N374=$AG$4,$O375=12),$AG$3,IF(AND(N374=$AH$4,$O375=12),$AH$3,IF(AND(N374=$AI$4,$O375=12),$AI$3,IF(AND(N374=$AJ$4,$O375=12),$AJ$3,IF(AND(N374=$AK$4,$O375=12),$AK$3,IF(AND(N374=$AL$4,$O375=12),$AL$3,IF(AND(N374=$AM$4,$O375=12),$AM$3,IF(AND(N374=$AN$4,$O375=12),$AN$3,IF(AND(N374=$AO$4,$O375=12),$AO$3,IF(AND(N374=$AP$4,$O375=12),$AP$3,IF(AND(N374=$AQ$4,$O375=12),$AJ$3," "))))))))))))))))))))))))))</f>
        <v>Year 12</v>
      </c>
      <c r="O373" s="89"/>
      <c r="P373" s="89"/>
      <c r="Q373" s="89"/>
      <c r="V373" s="23"/>
    </row>
    <row r="374" spans="1:23" x14ac:dyDescent="0.35">
      <c r="A374" s="176" t="str">
        <f>+B347</f>
        <v>Co-PI</v>
      </c>
      <c r="B374" s="55" t="str">
        <f t="shared" ref="B374:I374" si="611">+N$2</f>
        <v>FY2023</v>
      </c>
      <c r="C374" s="55" t="str">
        <f t="shared" si="611"/>
        <v>FY2024</v>
      </c>
      <c r="D374" s="55" t="str">
        <f t="shared" si="611"/>
        <v>FY2025</v>
      </c>
      <c r="E374" s="55" t="str">
        <f t="shared" si="611"/>
        <v>FY2026</v>
      </c>
      <c r="F374" s="55" t="str">
        <f t="shared" si="611"/>
        <v>FY2027</v>
      </c>
      <c r="G374" s="55" t="str">
        <f t="shared" si="611"/>
        <v>FY2028</v>
      </c>
      <c r="H374" s="55" t="str">
        <f t="shared" si="611"/>
        <v>FY2029</v>
      </c>
      <c r="I374" s="55" t="str">
        <f t="shared" si="611"/>
        <v>FY2030</v>
      </c>
      <c r="J374" s="55" t="str">
        <f t="shared" ref="J374" si="612">+V$2</f>
        <v>FY2031</v>
      </c>
      <c r="K374" s="55" t="str">
        <f t="shared" ref="K374" si="613">+W$2</f>
        <v>FY2032</v>
      </c>
      <c r="L374" s="55" t="str">
        <f t="shared" ref="L374" si="614">+X$2</f>
        <v>FY2033</v>
      </c>
      <c r="M374" s="55" t="str">
        <f t="shared" ref="M374:N374" si="615">+Y$2</f>
        <v>FY2034</v>
      </c>
      <c r="N374" s="55" t="str">
        <f t="shared" si="615"/>
        <v>FY2035</v>
      </c>
      <c r="O374" s="32" t="s">
        <v>20</v>
      </c>
      <c r="P374" s="89" t="s">
        <v>64</v>
      </c>
      <c r="Q374" s="89"/>
      <c r="V374" s="23"/>
    </row>
    <row r="375" spans="1:23" x14ac:dyDescent="0.35">
      <c r="A375" s="168" t="str">
        <f>CONCATENATE("Base Salary: ",O375," month term")</f>
        <v>Base Salary: 9 month term</v>
      </c>
      <c r="B375" s="385">
        <v>0</v>
      </c>
      <c r="C375" s="386">
        <f t="shared" ref="C375:N375" si="616">ROUND(+B375*(1+$P$375),0)</f>
        <v>0</v>
      </c>
      <c r="D375" s="386">
        <f t="shared" si="616"/>
        <v>0</v>
      </c>
      <c r="E375" s="386">
        <f t="shared" si="616"/>
        <v>0</v>
      </c>
      <c r="F375" s="386">
        <f t="shared" si="616"/>
        <v>0</v>
      </c>
      <c r="G375" s="386">
        <f t="shared" si="616"/>
        <v>0</v>
      </c>
      <c r="H375" s="386">
        <f t="shared" si="616"/>
        <v>0</v>
      </c>
      <c r="I375" s="386">
        <f t="shared" si="616"/>
        <v>0</v>
      </c>
      <c r="J375" s="386">
        <f t="shared" si="616"/>
        <v>0</v>
      </c>
      <c r="K375" s="386">
        <f t="shared" si="616"/>
        <v>0</v>
      </c>
      <c r="L375" s="386">
        <f t="shared" si="616"/>
        <v>0</v>
      </c>
      <c r="M375" s="386">
        <f t="shared" si="616"/>
        <v>0</v>
      </c>
      <c r="N375" s="386">
        <f t="shared" si="616"/>
        <v>0</v>
      </c>
      <c r="O375" s="311">
        <v>9</v>
      </c>
      <c r="P375" s="312">
        <v>0.03</v>
      </c>
      <c r="Q375" s="52"/>
      <c r="V375" s="23"/>
    </row>
    <row r="376" spans="1:23" x14ac:dyDescent="0.35">
      <c r="A376" s="168" t="s">
        <v>44</v>
      </c>
      <c r="B376" s="313">
        <v>0</v>
      </c>
      <c r="C376" s="313">
        <v>0</v>
      </c>
      <c r="D376" s="313">
        <v>0</v>
      </c>
      <c r="E376" s="313">
        <v>0</v>
      </c>
      <c r="F376" s="313">
        <v>0</v>
      </c>
      <c r="G376" s="313">
        <v>0</v>
      </c>
      <c r="H376" s="313">
        <v>0</v>
      </c>
      <c r="I376" s="313">
        <v>0</v>
      </c>
      <c r="J376" s="313">
        <v>0</v>
      </c>
      <c r="K376" s="313">
        <v>0</v>
      </c>
      <c r="L376" s="313">
        <v>0</v>
      </c>
      <c r="M376" s="313">
        <v>0</v>
      </c>
      <c r="N376" s="313">
        <v>0</v>
      </c>
      <c r="O376" s="25"/>
      <c r="P376" s="25"/>
      <c r="Q376" s="25"/>
    </row>
    <row r="377" spans="1:23" x14ac:dyDescent="0.35">
      <c r="A377" s="168" t="str">
        <f>CONCATENATE("FTE for ",O375," Months")</f>
        <v>FTE for 9 Months</v>
      </c>
      <c r="B377" s="395">
        <f t="shared" ref="B377:M377" si="617">+B376/$O375</f>
        <v>0</v>
      </c>
      <c r="C377" s="395">
        <f t="shared" si="617"/>
        <v>0</v>
      </c>
      <c r="D377" s="395">
        <f t="shared" si="617"/>
        <v>0</v>
      </c>
      <c r="E377" s="395">
        <f t="shared" si="617"/>
        <v>0</v>
      </c>
      <c r="F377" s="395">
        <f t="shared" si="617"/>
        <v>0</v>
      </c>
      <c r="G377" s="395">
        <f t="shared" si="617"/>
        <v>0</v>
      </c>
      <c r="H377" s="395">
        <f t="shared" si="617"/>
        <v>0</v>
      </c>
      <c r="I377" s="395">
        <f t="shared" si="617"/>
        <v>0</v>
      </c>
      <c r="J377" s="395">
        <f t="shared" si="617"/>
        <v>0</v>
      </c>
      <c r="K377" s="395">
        <f t="shared" si="617"/>
        <v>0</v>
      </c>
      <c r="L377" s="395">
        <f t="shared" si="617"/>
        <v>0</v>
      </c>
      <c r="M377" s="395">
        <f t="shared" si="617"/>
        <v>0</v>
      </c>
      <c r="N377" s="395">
        <f t="shared" ref="N377" si="618">+N376/$O375</f>
        <v>0</v>
      </c>
      <c r="O377" s="89"/>
      <c r="P377" s="89"/>
      <c r="Q377" s="89"/>
    </row>
    <row r="378" spans="1:23" x14ac:dyDescent="0.35">
      <c r="A378" s="177" t="s">
        <v>56</v>
      </c>
      <c r="B378" s="396">
        <f>+B376/12</f>
        <v>0</v>
      </c>
      <c r="C378" s="396">
        <f>+C376/12</f>
        <v>0</v>
      </c>
      <c r="D378" s="396">
        <f t="shared" ref="D378" si="619">+D376/12</f>
        <v>0</v>
      </c>
      <c r="E378" s="396">
        <f t="shared" ref="E378:L378" si="620">+E376/12</f>
        <v>0</v>
      </c>
      <c r="F378" s="396">
        <f t="shared" si="620"/>
        <v>0</v>
      </c>
      <c r="G378" s="396">
        <f t="shared" si="620"/>
        <v>0</v>
      </c>
      <c r="H378" s="396">
        <f t="shared" si="620"/>
        <v>0</v>
      </c>
      <c r="I378" s="396">
        <f t="shared" si="620"/>
        <v>0</v>
      </c>
      <c r="J378" s="396">
        <f t="shared" si="620"/>
        <v>0</v>
      </c>
      <c r="K378" s="396">
        <f t="shared" si="620"/>
        <v>0</v>
      </c>
      <c r="L378" s="396">
        <f t="shared" si="620"/>
        <v>0</v>
      </c>
      <c r="M378" s="396">
        <f t="shared" ref="M378:N378" si="621">+M376/12</f>
        <v>0</v>
      </c>
      <c r="N378" s="396">
        <f t="shared" si="621"/>
        <v>0</v>
      </c>
      <c r="O378" s="89"/>
      <c r="P378" s="89"/>
      <c r="Q378" s="89"/>
    </row>
    <row r="379" spans="1:23" x14ac:dyDescent="0.35">
      <c r="A379" s="168" t="s">
        <v>21</v>
      </c>
      <c r="B379" s="110">
        <f t="shared" ref="B379:K379" si="622">IF($O375=9,ROUND(B375*B377,0),IF($O375=12,ROUND((B375*B377*$Q$35)+(C375*B377*$Q$36),0),0))</f>
        <v>0</v>
      </c>
      <c r="C379" s="110">
        <f t="shared" si="622"/>
        <v>0</v>
      </c>
      <c r="D379" s="110">
        <f t="shared" si="622"/>
        <v>0</v>
      </c>
      <c r="E379" s="110">
        <f t="shared" si="622"/>
        <v>0</v>
      </c>
      <c r="F379" s="110">
        <f t="shared" si="622"/>
        <v>0</v>
      </c>
      <c r="G379" s="110">
        <f t="shared" si="622"/>
        <v>0</v>
      </c>
      <c r="H379" s="110">
        <f t="shared" si="622"/>
        <v>0</v>
      </c>
      <c r="I379" s="110">
        <f t="shared" si="622"/>
        <v>0</v>
      </c>
      <c r="J379" s="110">
        <f t="shared" si="622"/>
        <v>0</v>
      </c>
      <c r="K379" s="110">
        <f t="shared" si="622"/>
        <v>0</v>
      </c>
      <c r="L379" s="110">
        <f>IF($O375=9,ROUND(L375*L377,0),IF($O375=12,ROUND((L375*L377*$Q$35)+(N375*L377*$Q$36),0),0))</f>
        <v>0</v>
      </c>
      <c r="M379" s="110">
        <f>IF($O375=9,ROUND(M375*M377,0),IF($O375=12,ROUND((M375*M377*$Q$35)+(O375*M377*$Q$36),0),0))</f>
        <v>0</v>
      </c>
      <c r="N379" s="110">
        <f>IF($O375=9,ROUND(N375*N377,0),IF($O375=12,ROUND((N375*N377*$Q$35)+(P375*N377*$Q$36),0),0))</f>
        <v>0</v>
      </c>
      <c r="O379" s="89"/>
      <c r="P379" s="89"/>
      <c r="Q379" s="89"/>
    </row>
    <row r="380" spans="1:23" x14ac:dyDescent="0.35">
      <c r="A380" s="168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89"/>
      <c r="P380" s="89"/>
      <c r="Q380" s="89"/>
      <c r="R380" s="26"/>
      <c r="S380" s="23"/>
      <c r="T380" s="23"/>
      <c r="U380" s="23"/>
      <c r="V380" s="23"/>
      <c r="W380" s="23"/>
    </row>
    <row r="381" spans="1:23" x14ac:dyDescent="0.35">
      <c r="A381" s="175" t="str">
        <f>CONCATENATE("Calculation based on ",O383," month salary")</f>
        <v>Calculation based on 9 month salary</v>
      </c>
      <c r="B381" s="104" t="str">
        <f t="shared" ref="B381:L381" si="623">IF(AND(B382=$AE$5,$O383=9),$AE$3,IF(AND(B382=$AF$5,$O383=9),$AF$3,IF(AND(B382=$AG$5,$O383=9),$AG$3,IF(AND(B382=$AH$5,$O383=9),$AH$3,IF(AND(B382=$AI$5,$O383=9),$AI$3,IF(AND(B382=$AJ$5,$O383=9),$AJ$3,IF(AND(B382=$AK$5,$O383=9),$AK$3,IF(AND(B382=$AL$5,$O383=9),$AL$3,IF(AND(B382=$AM$5,$O383=9),$AM$3,IF(AND(B382=$AN$5,$O383=9),$AN$3,IF(AND(B382=$AO$5,$O383=9),$AO$3,IF(AND(B382=$AP$5,$O383=9),$AJ$3,IF(AND(B382=$AE$4,$O383=12),$AE$3,IF(AND(B382=$AF$4,$O383=12),$AF$3,IF(AND(B382=$AG$4,$O383=12),$AG$3,IF(AND(B382=$AH$4,$O383=12),$AH$3,IF(AND(B382=$AI$4,$O383=12),$AI$3,IF(AND(B382=$AJ$4,$O383=12),$AJ$3,IF(AND(B382=$AK$4,$O383=12),$AK$3,IF(AND(B382=$AL$4,$O383=12),$AL$3,IF(AND(B382=$AM$4,$O383=12),$AM$3,IF(AND(B382=$AN$4,$O383=12),$AN$3,IF(AND(B382=$AO$4,$O383=12),$AO$3,IF(AND(B382=$AP$4,$O383=12),$AJ$3," "))))))))))))))))))))))))</f>
        <v xml:space="preserve"> </v>
      </c>
      <c r="C381" s="104" t="str">
        <f t="shared" si="623"/>
        <v>Year 1</v>
      </c>
      <c r="D381" s="104" t="str">
        <f t="shared" si="623"/>
        <v>Year 2</v>
      </c>
      <c r="E381" s="104" t="str">
        <f t="shared" si="623"/>
        <v>Year 3</v>
      </c>
      <c r="F381" s="104" t="str">
        <f t="shared" si="623"/>
        <v>Year 4</v>
      </c>
      <c r="G381" s="104" t="str">
        <f t="shared" si="623"/>
        <v>Year 5</v>
      </c>
      <c r="H381" s="104" t="str">
        <f t="shared" si="623"/>
        <v>Year 6</v>
      </c>
      <c r="I381" s="104" t="str">
        <f t="shared" si="623"/>
        <v>Year 7</v>
      </c>
      <c r="J381" s="104" t="str">
        <f t="shared" si="623"/>
        <v>Year 8</v>
      </c>
      <c r="K381" s="104" t="str">
        <f t="shared" si="623"/>
        <v>Year 9</v>
      </c>
      <c r="L381" s="104" t="str">
        <f t="shared" si="623"/>
        <v>Year 10</v>
      </c>
      <c r="M381" s="104" t="str">
        <f>IF(AND(M382=$AE$5,$O383=9),$AE$3,IF(AND(M382=$AF$5,$O383=9),$AF$3,IF(AND(M382=$AG$5,$O383=9),$AG$3,IF(AND(M382=$AH$5,$O383=9),$AH$3,IF(AND(M382=$AI$5,$O383=9),$AI$3,IF(AND(M382=$AJ$5,$O383=9),$AJ$3,IF(AND(M382=$AK$5,$O383=9),$AK$3,IF(AND(M382=$AL$5,$O383=9),$AL$3,IF(AND(M382=$AM$5,$O383=9),$AM$3,IF(AND(M382=$AN$5,$O383=9),$AN$3,IF(AND(M382=$AO$5,$O383=9),$AO$3,IF(AND(M382=$AP$5,$O383=9),$AP$3,IF(AND(M382=$AQ$5,$O383=9),$AJ$3,IF(AND(M382=$AE$4,$O383=12),$AE$3,IF(AND(M382=$AF$4,$O383=12),$AF$3,IF(AND(M382=$AG$4,$O383=12),$AG$3,IF(AND(M382=$AH$4,$O383=12),$AH$3,IF(AND(M382=$AI$4,$O383=12),$AI$3,IF(AND(M382=$AJ$4,$O383=12),$AJ$3,IF(AND(M382=$AK$4,$O383=12),$AK$3,IF(AND(M382=$AL$4,$O383=12),$AL$3,IF(AND(M382=$AM$4,$O383=12),$AM$3,IF(AND(M382=$AN$4,$O383=12),$AN$3,IF(AND(M382=$AO$4,$O383=12),$AO$3,IF(AND(M382=$AP$4,$O383=12),$AP$3,IF(AND(M382=$AQ$4,$O383=12),$AJ$3," "))))))))))))))))))))))))))</f>
        <v>Year 11</v>
      </c>
      <c r="N381" s="104" t="str">
        <f>IF(AND(N382=$AE$5,$O383=9),$AE$3,IF(AND(N382=$AF$5,$O383=9),$AF$3,IF(AND(N382=$AG$5,$O383=9),$AG$3,IF(AND(N382=$AH$5,$O383=9),$AH$3,IF(AND(N382=$AI$5,$O383=9),$AI$3,IF(AND(N382=$AJ$5,$O383=9),$AJ$3,IF(AND(N382=$AK$5,$O383=9),$AK$3,IF(AND(N382=$AL$5,$O383=9),$AL$3,IF(AND(N382=$AM$5,$O383=9),$AM$3,IF(AND(N382=$AN$5,$O383=9),$AN$3,IF(AND(N382=$AO$5,$O383=9),$AO$3,IF(AND(N382=$AP$5,$O383=9),$AP$3,IF(AND(N382=$AQ$5,$O383=9),$AJ$3,IF(AND(N382=$AE$4,$O383=12),$AE$3,IF(AND(N382=$AF$4,$O383=12),$AF$3,IF(AND(N382=$AG$4,$O383=12),$AG$3,IF(AND(N382=$AH$4,$O383=12),$AH$3,IF(AND(N382=$AI$4,$O383=12),$AI$3,IF(AND(N382=$AJ$4,$O383=12),$AJ$3,IF(AND(N382=$AK$4,$O383=12),$AK$3,IF(AND(N382=$AL$4,$O383=12),$AL$3,IF(AND(N382=$AM$4,$O383=12),$AM$3,IF(AND(N382=$AN$4,$O383=12),$AN$3,IF(AND(N382=$AO$4,$O383=12),$AO$3,IF(AND(N382=$AP$4,$O383=12),$AP$3,IF(AND(N382=$AQ$4,$O383=12),$AJ$3," "))))))))))))))))))))))))))</f>
        <v>Year 12</v>
      </c>
      <c r="O381" s="89"/>
      <c r="P381" s="89"/>
      <c r="Q381" s="89"/>
    </row>
    <row r="382" spans="1:23" x14ac:dyDescent="0.35">
      <c r="A382" s="176" t="str">
        <f>+B348</f>
        <v>Co-PI</v>
      </c>
      <c r="B382" s="55" t="str">
        <f t="shared" ref="B382:I382" si="624">+N$2</f>
        <v>FY2023</v>
      </c>
      <c r="C382" s="55" t="str">
        <f t="shared" si="624"/>
        <v>FY2024</v>
      </c>
      <c r="D382" s="55" t="str">
        <f t="shared" si="624"/>
        <v>FY2025</v>
      </c>
      <c r="E382" s="55" t="str">
        <f t="shared" si="624"/>
        <v>FY2026</v>
      </c>
      <c r="F382" s="55" t="str">
        <f t="shared" si="624"/>
        <v>FY2027</v>
      </c>
      <c r="G382" s="55" t="str">
        <f t="shared" si="624"/>
        <v>FY2028</v>
      </c>
      <c r="H382" s="55" t="str">
        <f t="shared" si="624"/>
        <v>FY2029</v>
      </c>
      <c r="I382" s="55" t="str">
        <f t="shared" si="624"/>
        <v>FY2030</v>
      </c>
      <c r="J382" s="55" t="str">
        <f t="shared" ref="J382" si="625">+V$2</f>
        <v>FY2031</v>
      </c>
      <c r="K382" s="55" t="str">
        <f t="shared" ref="K382" si="626">+W$2</f>
        <v>FY2032</v>
      </c>
      <c r="L382" s="55" t="str">
        <f t="shared" ref="L382" si="627">+X$2</f>
        <v>FY2033</v>
      </c>
      <c r="M382" s="55" t="str">
        <f t="shared" ref="M382:N382" si="628">+Y$2</f>
        <v>FY2034</v>
      </c>
      <c r="N382" s="55" t="str">
        <f t="shared" si="628"/>
        <v>FY2035</v>
      </c>
      <c r="O382" s="32" t="s">
        <v>20</v>
      </c>
      <c r="P382" s="89" t="s">
        <v>64</v>
      </c>
      <c r="Q382" s="89"/>
    </row>
    <row r="383" spans="1:23" x14ac:dyDescent="0.35">
      <c r="A383" s="168" t="str">
        <f>CONCATENATE("Base Salary: ",O383," month term")</f>
        <v>Base Salary: 9 month term</v>
      </c>
      <c r="B383" s="385">
        <v>0</v>
      </c>
      <c r="C383" s="386">
        <f t="shared" ref="C383:N383" si="629">ROUND(+B383*(1+$P$383),0)</f>
        <v>0</v>
      </c>
      <c r="D383" s="386">
        <f t="shared" si="629"/>
        <v>0</v>
      </c>
      <c r="E383" s="386">
        <f t="shared" si="629"/>
        <v>0</v>
      </c>
      <c r="F383" s="386">
        <f t="shared" si="629"/>
        <v>0</v>
      </c>
      <c r="G383" s="386">
        <f t="shared" si="629"/>
        <v>0</v>
      </c>
      <c r="H383" s="386">
        <f t="shared" si="629"/>
        <v>0</v>
      </c>
      <c r="I383" s="386">
        <f t="shared" si="629"/>
        <v>0</v>
      </c>
      <c r="J383" s="386">
        <f t="shared" si="629"/>
        <v>0</v>
      </c>
      <c r="K383" s="386">
        <f t="shared" si="629"/>
        <v>0</v>
      </c>
      <c r="L383" s="386">
        <f t="shared" si="629"/>
        <v>0</v>
      </c>
      <c r="M383" s="386">
        <f t="shared" si="629"/>
        <v>0</v>
      </c>
      <c r="N383" s="386">
        <f t="shared" si="629"/>
        <v>0</v>
      </c>
      <c r="O383" s="311">
        <v>9</v>
      </c>
      <c r="P383" s="312">
        <v>0.03</v>
      </c>
      <c r="Q383" s="52"/>
    </row>
    <row r="384" spans="1:23" x14ac:dyDescent="0.35">
      <c r="A384" s="168" t="s">
        <v>44</v>
      </c>
      <c r="B384" s="313">
        <v>0</v>
      </c>
      <c r="C384" s="313">
        <v>0</v>
      </c>
      <c r="D384" s="313">
        <v>0</v>
      </c>
      <c r="E384" s="313">
        <v>0</v>
      </c>
      <c r="F384" s="313">
        <v>0</v>
      </c>
      <c r="G384" s="313">
        <v>0</v>
      </c>
      <c r="H384" s="313">
        <v>0</v>
      </c>
      <c r="I384" s="313">
        <v>0</v>
      </c>
      <c r="J384" s="313">
        <v>0</v>
      </c>
      <c r="K384" s="313">
        <v>0</v>
      </c>
      <c r="L384" s="313">
        <v>0</v>
      </c>
      <c r="M384" s="313">
        <v>0</v>
      </c>
      <c r="N384" s="313">
        <v>0</v>
      </c>
      <c r="O384" s="25"/>
      <c r="P384" s="25"/>
      <c r="Q384" s="164"/>
      <c r="R384" s="42" t="str">
        <f>+O$20</f>
        <v>Graduate Student (Stipend, Tuition, Health Ins) - Endowed College Rates:</v>
      </c>
    </row>
    <row r="385" spans="1:33" x14ac:dyDescent="0.35">
      <c r="A385" s="168" t="str">
        <f>CONCATENATE("FTE for ",O383," Months")</f>
        <v>FTE for 9 Months</v>
      </c>
      <c r="B385" s="395">
        <f t="shared" ref="B385:M385" si="630">+B384/$O383</f>
        <v>0</v>
      </c>
      <c r="C385" s="395">
        <f t="shared" si="630"/>
        <v>0</v>
      </c>
      <c r="D385" s="395">
        <f t="shared" si="630"/>
        <v>0</v>
      </c>
      <c r="E385" s="395">
        <f t="shared" si="630"/>
        <v>0</v>
      </c>
      <c r="F385" s="395">
        <f t="shared" si="630"/>
        <v>0</v>
      </c>
      <c r="G385" s="395">
        <f t="shared" si="630"/>
        <v>0</v>
      </c>
      <c r="H385" s="395">
        <f t="shared" si="630"/>
        <v>0</v>
      </c>
      <c r="I385" s="395">
        <f t="shared" si="630"/>
        <v>0</v>
      </c>
      <c r="J385" s="395">
        <f t="shared" si="630"/>
        <v>0</v>
      </c>
      <c r="K385" s="395">
        <f t="shared" si="630"/>
        <v>0</v>
      </c>
      <c r="L385" s="395">
        <f t="shared" si="630"/>
        <v>0</v>
      </c>
      <c r="M385" s="395">
        <f t="shared" si="630"/>
        <v>0</v>
      </c>
      <c r="N385" s="395">
        <f t="shared" ref="N385" si="631">+N384/$O383</f>
        <v>0</v>
      </c>
      <c r="O385" s="89"/>
      <c r="P385" s="89"/>
      <c r="Q385" s="164"/>
      <c r="R385" s="25"/>
      <c r="S385" s="113" t="str">
        <f>+$P$24</f>
        <v>FY2023</v>
      </c>
      <c r="T385" s="113" t="str">
        <f>+$Q$24</f>
        <v>FY2024</v>
      </c>
      <c r="U385" s="113" t="str">
        <f>+$R$24</f>
        <v>FY2025</v>
      </c>
      <c r="V385" s="113" t="str">
        <f>+$S$24</f>
        <v>FY2026</v>
      </c>
      <c r="W385" s="113" t="str">
        <f>+$T$24</f>
        <v>FY2027</v>
      </c>
      <c r="X385" s="113" t="str">
        <f>+$U$24</f>
        <v>FY2028</v>
      </c>
      <c r="Y385" s="113" t="str">
        <f>+$V$24</f>
        <v>FY2029</v>
      </c>
      <c r="Z385" s="113" t="str">
        <f>+$W$24</f>
        <v>FY2030</v>
      </c>
      <c r="AA385" s="113" t="str">
        <f>+$X$24</f>
        <v>FY2031</v>
      </c>
      <c r="AB385" s="113" t="str">
        <f>+$Y$24</f>
        <v>FY2032</v>
      </c>
      <c r="AC385" s="113" t="str">
        <f>+$Z$24</f>
        <v>FY2033</v>
      </c>
      <c r="AD385" s="113" t="str">
        <f>+$AA$24</f>
        <v>FY2034</v>
      </c>
      <c r="AE385" s="113" t="str">
        <f>+$AB$24</f>
        <v>FY2035</v>
      </c>
      <c r="AF385" s="114" t="s">
        <v>101</v>
      </c>
    </row>
    <row r="386" spans="1:33" x14ac:dyDescent="0.35">
      <c r="A386" s="177" t="s">
        <v>56</v>
      </c>
      <c r="B386" s="396">
        <f>+B384/12</f>
        <v>0</v>
      </c>
      <c r="C386" s="396">
        <f>+C384/12</f>
        <v>0</v>
      </c>
      <c r="D386" s="396">
        <f t="shared" ref="D386" si="632">+D384/12</f>
        <v>0</v>
      </c>
      <c r="E386" s="396">
        <f t="shared" ref="E386:L386" si="633">+E384/12</f>
        <v>0</v>
      </c>
      <c r="F386" s="396">
        <f t="shared" si="633"/>
        <v>0</v>
      </c>
      <c r="G386" s="396">
        <f t="shared" si="633"/>
        <v>0</v>
      </c>
      <c r="H386" s="396">
        <f t="shared" si="633"/>
        <v>0</v>
      </c>
      <c r="I386" s="396">
        <f t="shared" si="633"/>
        <v>0</v>
      </c>
      <c r="J386" s="396">
        <f t="shared" si="633"/>
        <v>0</v>
      </c>
      <c r="K386" s="396">
        <f t="shared" si="633"/>
        <v>0</v>
      </c>
      <c r="L386" s="396">
        <f t="shared" si="633"/>
        <v>0</v>
      </c>
      <c r="M386" s="396">
        <f t="shared" ref="M386:N386" si="634">+M384/12</f>
        <v>0</v>
      </c>
      <c r="N386" s="396">
        <f t="shared" si="634"/>
        <v>0</v>
      </c>
      <c r="O386" s="89"/>
      <c r="P386" s="89"/>
      <c r="Q386" s="164"/>
      <c r="R386" s="30" t="s">
        <v>35</v>
      </c>
      <c r="S386" s="101">
        <f>+$P$25</f>
        <v>30087</v>
      </c>
      <c r="T386" s="101">
        <f>IF(ROUND(S386*(1+$AF386),0)=$Q$25,ROUND(S386*(1+$AF386),0),$Q$25)</f>
        <v>32494.5</v>
      </c>
      <c r="U386" s="101">
        <f t="shared" ref="U386:AE386" si="635">ROUND(T386*(1+$AF386),0)</f>
        <v>35094</v>
      </c>
      <c r="V386" s="101">
        <f t="shared" si="635"/>
        <v>37902</v>
      </c>
      <c r="W386" s="101">
        <f t="shared" si="635"/>
        <v>40934</v>
      </c>
      <c r="X386" s="101">
        <f t="shared" si="635"/>
        <v>44209</v>
      </c>
      <c r="Y386" s="101">
        <f t="shared" si="635"/>
        <v>47746</v>
      </c>
      <c r="Z386" s="101">
        <f t="shared" si="635"/>
        <v>51566</v>
      </c>
      <c r="AA386" s="101">
        <f t="shared" si="635"/>
        <v>55691</v>
      </c>
      <c r="AB386" s="101">
        <f t="shared" si="635"/>
        <v>60146</v>
      </c>
      <c r="AC386" s="101">
        <f t="shared" si="635"/>
        <v>64958</v>
      </c>
      <c r="AD386" s="101">
        <f t="shared" si="635"/>
        <v>70155</v>
      </c>
      <c r="AE386" s="101">
        <f t="shared" si="635"/>
        <v>75767</v>
      </c>
      <c r="AF386" s="31">
        <v>0.08</v>
      </c>
    </row>
    <row r="387" spans="1:33" x14ac:dyDescent="0.35">
      <c r="A387" s="168" t="s">
        <v>21</v>
      </c>
      <c r="B387" s="110">
        <f t="shared" ref="B387:K387" si="636">IF($O383=9,ROUND(B383*B385,0),IF($O383=12,ROUND((B383*B385*$Q$35)+(C383*B385*$Q$36),0),0))</f>
        <v>0</v>
      </c>
      <c r="C387" s="110">
        <f t="shared" si="636"/>
        <v>0</v>
      </c>
      <c r="D387" s="110">
        <f t="shared" si="636"/>
        <v>0</v>
      </c>
      <c r="E387" s="110">
        <f t="shared" si="636"/>
        <v>0</v>
      </c>
      <c r="F387" s="110">
        <f t="shared" si="636"/>
        <v>0</v>
      </c>
      <c r="G387" s="110">
        <f t="shared" si="636"/>
        <v>0</v>
      </c>
      <c r="H387" s="110">
        <f t="shared" si="636"/>
        <v>0</v>
      </c>
      <c r="I387" s="110">
        <f t="shared" si="636"/>
        <v>0</v>
      </c>
      <c r="J387" s="110">
        <f t="shared" si="636"/>
        <v>0</v>
      </c>
      <c r="K387" s="110">
        <f t="shared" si="636"/>
        <v>0</v>
      </c>
      <c r="L387" s="110">
        <f>IF($O383=9,ROUND(L383*L385,0),IF($O383=12,ROUND((L383*L385*$Q$35)+(N383*L385*$Q$36),0),0))</f>
        <v>0</v>
      </c>
      <c r="M387" s="110">
        <f>IF($O383=9,ROUND(M383*M385,0),IF($O383=12,ROUND((M383*M385*$Q$35)+(O383*M385*$Q$36),0),0))</f>
        <v>0</v>
      </c>
      <c r="N387" s="110">
        <f>IF($O383=9,ROUND(N383*N385,0),IF($O383=12,ROUND((N383*N385*$Q$35)+(P383*N385*$Q$36),0),0))</f>
        <v>0</v>
      </c>
      <c r="O387" s="89"/>
      <c r="P387" s="89"/>
      <c r="Q387" s="164"/>
      <c r="R387" s="30" t="s">
        <v>23</v>
      </c>
      <c r="S387" s="101">
        <f>+$P$26</f>
        <v>10029</v>
      </c>
      <c r="T387" s="101">
        <f>IF(ROUND(S387*(1+$AF387),0)=$Q$26,ROUND(S387*(1+$AF387),0),$Q$26)</f>
        <v>10831.5</v>
      </c>
      <c r="U387" s="101">
        <f t="shared" ref="U387:AE387" si="637">ROUND(T387*(1+$AF387),0)</f>
        <v>11698</v>
      </c>
      <c r="V387" s="101">
        <f t="shared" si="637"/>
        <v>12634</v>
      </c>
      <c r="W387" s="101">
        <f t="shared" si="637"/>
        <v>13645</v>
      </c>
      <c r="X387" s="101">
        <f t="shared" si="637"/>
        <v>14737</v>
      </c>
      <c r="Y387" s="101">
        <f t="shared" si="637"/>
        <v>15916</v>
      </c>
      <c r="Z387" s="101">
        <f t="shared" si="637"/>
        <v>17189</v>
      </c>
      <c r="AA387" s="101">
        <f t="shared" si="637"/>
        <v>18564</v>
      </c>
      <c r="AB387" s="101">
        <f t="shared" si="637"/>
        <v>20049</v>
      </c>
      <c r="AC387" s="101">
        <f t="shared" si="637"/>
        <v>21653</v>
      </c>
      <c r="AD387" s="101">
        <f t="shared" si="637"/>
        <v>23385</v>
      </c>
      <c r="AE387" s="101">
        <f t="shared" si="637"/>
        <v>25256</v>
      </c>
      <c r="AF387" s="66">
        <v>0.08</v>
      </c>
    </row>
    <row r="388" spans="1:33" x14ac:dyDescent="0.35">
      <c r="A388" s="16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89"/>
      <c r="P388" s="89"/>
      <c r="Q388" s="164"/>
      <c r="R388" s="30" t="s">
        <v>30</v>
      </c>
      <c r="S388" s="101">
        <f>+$P$27</f>
        <v>40116</v>
      </c>
      <c r="T388" s="101">
        <f>+T386+T387</f>
        <v>43326</v>
      </c>
      <c r="U388" s="101">
        <f t="shared" ref="U388:AD388" si="638">+U386+U387</f>
        <v>46792</v>
      </c>
      <c r="V388" s="101">
        <f t="shared" si="638"/>
        <v>50536</v>
      </c>
      <c r="W388" s="101">
        <f t="shared" si="638"/>
        <v>54579</v>
      </c>
      <c r="X388" s="101">
        <f t="shared" si="638"/>
        <v>58946</v>
      </c>
      <c r="Y388" s="101">
        <f t="shared" si="638"/>
        <v>63662</v>
      </c>
      <c r="Z388" s="101">
        <f t="shared" si="638"/>
        <v>68755</v>
      </c>
      <c r="AA388" s="101">
        <f t="shared" si="638"/>
        <v>74255</v>
      </c>
      <c r="AB388" s="101">
        <f t="shared" si="638"/>
        <v>80195</v>
      </c>
      <c r="AC388" s="101">
        <f t="shared" si="638"/>
        <v>86611</v>
      </c>
      <c r="AD388" s="101">
        <f t="shared" si="638"/>
        <v>93540</v>
      </c>
      <c r="AE388" s="101">
        <f t="shared" ref="AE388" si="639">+AE386+AE387</f>
        <v>101023</v>
      </c>
      <c r="AF388" s="31"/>
    </row>
    <row r="389" spans="1:33" x14ac:dyDescent="0.35">
      <c r="A389" s="168"/>
      <c r="B389" s="104" t="str">
        <f>IF(B390=$AE$4,$AE$3,IF(B390=$AF$4,$AF$3,IF(B390=$AG$4,$AG$3,IF(B390=$AH$4,$AH$3,IF(B390=$AI$4,$AI$3," ")))))</f>
        <v xml:space="preserve"> </v>
      </c>
      <c r="C389" s="104" t="str">
        <f>IF(C390=$AE$4,$AE$3,IF(C390=$AF$4,$AF$3,IF(C390=$AG$4,$AG$3,IF(C390=$AH$4,$AH$3,IF(C390=$AI$4,$AI$3," ")))))</f>
        <v>Year 1</v>
      </c>
      <c r="D389" s="104" t="str">
        <f>IF(D390=$AE$4,$AE$3,IF(D390=$AF$4,$AF$3,IF(D390=$AG$4,$AG$3,IF(D390=$AH$4,$AH$3,IF(D390=$AI$4,$AI$3," ")))))</f>
        <v>Year 2</v>
      </c>
      <c r="E389" s="104" t="str">
        <f>IF(E390=$AE$4,$AE$3,IF(E390=$AF$4,$AF$3,IF(E390=$AG$4,$AG$3,IF(E390=$AH$4,$AH$3,IF(E390=$AI$4,$AI$3," ")))))</f>
        <v>Year 3</v>
      </c>
      <c r="F389" s="104" t="str">
        <f>IF(F390=$AE$4,$AE$3,IF(F390=$AF$4,$AF$3,IF(F390=$AG$4,$AG$3,IF(F390=$AH$4,$AH$3,IF(F390=$AI$4,$AI$3," ")))))</f>
        <v>Year 4</v>
      </c>
      <c r="G389" s="104" t="str">
        <f>IF(AND(G390=$AE$5,$O391=9),$AE$3,IF(AND(G390=$AF$5,$O391=9),$AF$3,IF(AND(G390=$AG$5,$O391=9),$AG$3,IF(AND(G390=$AH$5,$O391=9),$AH$3,IF(AND(G390=$AI$5,$O391=9),$AI$3,IF(AND(G390=$AJ$5,$O391=9),$AJ$3,IF(AND(G390=$AK$5,$O391=9),$AK$3,IF(AND(G390=$AL$5,$O391=9),$AL$3,IF(AND(G390=$AM$5,$O391=9),$AM$3,IF(AND(G390=$AN$5,$O391=9),$AJ$3,IF(AND(G390=$AE$4,$O391=12),$AE$3,IF(AND(G390=$AF$4,$O391=12),$AF$3,IF(AND(G390=$AG$4,$O391=12),$AG$3,IF(AND(G390=$AH$4,$O391=12),$AH$3,IF(AND(G390=$AI$4,$O391=12),$AI$3,IF(AND(G390=$AJ$4,$O391=12),$AJ$3,IF(AND(G390=$AK$4,$O391=12),$AK$3,IF(AND(G390=$AL$4,$O391=12),$AL$3,IF(AND(G390=$AM$4,$O391=12),$AM$3,IF(AND(G390=$AN$4,$O391=12),$AN$3,IF(AND(G390=$AP$4,$O391=12),$AJ$3," ")))))))))))))))))))))</f>
        <v>Year 5</v>
      </c>
      <c r="H389" s="104" t="str">
        <f>IF(AND(H390=$AE$5,$O391=9),$AE$3,IF(AND(H390=$AF$5,$O391=9),$AF$3,IF(AND(H390=$AG$5,$O391=9),$AG$3,IF(AND(H390=$AH$5,$O391=9),$AH$3,IF(AND(H390=$AI$5,$O391=9),$AI$3,IF(AND(H390=$AJ$5,$O391=9),$AJ$3,IF(AND(H390=$AK$5,$O391=9),$AK$3,IF(AND(H390=$AL$5,$O391=9),$AL$3,IF(AND(H390=$AM$5,$O391=9),$AM$3,IF(AND(H390=$AN$5,$O391=9),$AJ$3,IF(AND(H390=$AE$4,$O391=12),$AE$3,IF(AND(H390=$AF$4,$O391=12),$AF$3,IF(AND(H390=$AG$4,$O391=12),$AG$3,IF(AND(H390=$AH$4,$O391=12),$AH$3,IF(AND(H390=$AI$4,$O391=12),$AI$3,IF(AND(H390=$AJ$4,$O391=12),$AJ$3,IF(AND(H390=$AK$4,$O391=12),$AK$3,IF(AND(H390=$AL$4,$O391=12),$AL$3,IF(AND(H390=$AM$4,$O391=12),$AM$3,IF(AND(H390=$AN$4,$O391=12),$AJ$3," "))))))))))))))))))))</f>
        <v>Year 6</v>
      </c>
      <c r="I389" s="104" t="str">
        <f>IF(AND(I390=$AE$5,$O391=9),$AE$3,IF(AND(I390=$AF$5,$O391=9),$AF$3,IF(AND(I390=$AG$5,$O391=9),$AG$3,IF(AND(I390=$AH$5,$O391=9),$AH$3,IF(AND(I390=$AI$5,$O391=9),$AI$3,IF(AND(I390=$AJ$5,$O391=9),$AJ$3,IF(AND(I390=$AK$5,$O391=9),$AK$3,IF(AND(I390=$AL$5,$O391=9),$AL$3,IF(AND(I390=$AM$5,$O391=9),$AM$3,IF(AND(I390=$AN$5,$O391=9),$AJ$3,IF(AND(I390=$AE$4,$O391=12),$AE$3,IF(AND(I390=$AF$4,$O391=12),$AF$3,IF(AND(I390=$AG$4,$O391=12),$AG$3,IF(AND(I390=$AH$4,$O391=12),$AH$3,IF(AND(I390=$AI$4,$O391=12),$AI$3,IF(AND(I390=$AJ$4,$O391=12),$AJ$3,IF(AND(I390=$AK$4,$O391=12),$AK$3,IF(AND(I390=$AL$4,$O391=12),$AL$3,IF(AND(I390=$AM$4,$O391=12),$AM$3,IF(AND(I390=$AN$4,$O391=12),$AJ$3," "))))))))))))))))))))</f>
        <v>Year 7</v>
      </c>
      <c r="J389" s="104" t="str">
        <f>IF(AND(J390=$AE$5,$O391=9),$AE$3,IF(AND(J390=$AF$5,$O391=9),$AF$3,IF(AND(J390=$AG$5,$O391=9),$AG$3,IF(AND(J390=$AH$5,$O391=9),$AH$3,IF(AND(J390=$AI$5,$O391=9),$AI$3,IF(AND(J390=$AJ$5,$O391=9),$AJ$3,IF(AND(J390=$AK$5,$O391=9),$AK$3,IF(AND(J390=$AL$5,$O391=9),$AL$3,IF(AND(J390=$AM$5,$O391=9),$AM$3,IF(AND(J390=$AN$5,$O391=9),$AJ$3,IF(AND(J390=$AE$4,$O391=12),$AE$3,IF(AND(J390=$AF$4,$O391=12),$AF$3,IF(AND(J390=$AG$4,$O391=12),$AG$3,IF(AND(J390=$AH$4,$O391=12),$AH$3,IF(AND(J390=$AI$4,$O391=12),$AI$3,IF(AND(J390=$AJ$4,$O391=12),$AJ$3,IF(AND(J390=$AK$4,$O391=12),$AK$3,IF(AND(J390=$AL$4,$O391=12),$AL$3,IF(AND(J390=$AM$4,$O391=12),$AM$3,IF(AND(J390=$AN$4,$O391=12),$AJ$3," "))))))))))))))))))))</f>
        <v>Year 8</v>
      </c>
      <c r="K389" s="104" t="str">
        <f>IF(AND(K390=$AE$5,$O391=9),$AE$3,IF(AND(K390=$AF$5,$O391=9),$AF$3,IF(AND(K390=$AG$5,$O391=9),$AG$3,IF(AND(K390=$AH$5,$O391=9),$AH$3,IF(AND(K390=$AI$5,$O391=9),$AI$3,IF(AND(K390=$AJ$5,$O391=9),$AJ$3,IF(AND(K390=$AK$5,$O391=9),$AK$3,IF(AND(K390=$AL$5,$O391=9),$AL$3,IF(AND(K390=$AM$5,$O391=9),$AM$3,IF(AND(K390=$AN$5,$O391=9),$AJ$3,IF(AND(K390=$AE$4,$O391=12),$AE$3,IF(AND(K390=$AF$4,$O391=12),$AF$3,IF(AND(K390=$AG$4,$O391=12),$AG$3,IF(AND(K390=$AH$4,$O391=12),$AH$3,IF(AND(K390=$AI$4,$O391=12),$AI$3,IF(AND(K390=$AJ$4,$O391=12),$AJ$3,IF(AND(K390=$AK$4,$O391=12),$AK$3,IF(AND(K390=$AL$4,$O391=12),$AL$3,IF(AND(K390=$AM$4,$O391=12),$AM$3,IF(AND(K390=$AN$4,$O391=12),$AN$3,IF(AND(K390=$AP$4,$O391=12),$AJ$3," ")))))))))))))))))))))</f>
        <v>Year 9</v>
      </c>
      <c r="L389" s="104" t="str">
        <f>IF(AND(L390=$AE$5,$O391=9),$AE$3,IF(AND(L390=$AF$5,$O391=9),$AF$3,IF(AND(L390=$AG$5,$O391=9),$AG$3,IF(AND(L390=$AH$5,$O391=9),$AH$3,IF(AND(L390=$AI$5,$O391=9),$AI$3,IF(AND(L390=$AJ$5,$O391=9),$AJ$3,IF(AND(L390=$AK$5,$O391=9),$AK$3,IF(AND(L390=$AL$5,$O391=9),$AL$3,IF(AND(L390=$AM$5,$O391=9),$AM$3,IF(AND(L390=$AN$5,$O391=9),$AN$3,IF(AND(L390=$AO$5,$O391=9),$AO$3,IF(AND(L390=$AP$5,$O391=9),$AJ$3,IF(AND(L390=$AE$4,$O391=12),$AE$3,IF(AND(L390=$AF$4,$O391=12),$AF$3,IF(AND(L390=$AG$4,$O391=12),$AG$3,IF(AND(L390=$AH$4,$O391=12),$AH$3,IF(AND(L390=$AI$4,$O391=12),$AI$3,IF(AND(L390=$AJ$4,$O391=12),$AJ$3,IF(AND(L390=$AK$4,$O391=12),$AK$3,IF(AND(L390=$AL$4,$O391=12),$AL$3,IF(AND(L390=$AM$4,$O391=12),$AM$3,IF(AND(L390=$AN$4,$O391=12),$AN$3,IF(AND(L390=$AO$4,$O391=12),$AO$3,IF(AND(L390=$AP$4,$O391=12),$AJ$3," "))))))))))))))))))))))))</f>
        <v>Year 10</v>
      </c>
      <c r="M389" s="104" t="str">
        <f>IF(AND(M390=$AE$5,$O391=9),$AE$3,IF(AND(M390=$AF$5,$O391=9),$AF$3,IF(AND(M390=$AG$5,$O391=9),$AG$3,IF(AND(M390=$AH$5,$O391=9),$AH$3,IF(AND(M390=$AI$5,$O391=9),$AI$3,IF(AND(M390=$AJ$5,$O391=9),$AJ$3,IF(AND(M390=$AK$5,$O391=9),$AK$3,IF(AND(M390=$AL$5,$O391=9),$AL$3,IF(AND(M390=$AM$5,$O391=9),$AM$3,IF(AND(M390=$AN$5,$O391=9),$AN$3,IF(AND(M390=$AO$5,$O391=9),$AO$3,IF(AND(M390=$AP$5,$O391=9),$AJ$3,IF(AND(M390=$AE$4,$O391=12),$AE$3,IF(AND(M390=$AF$4,$O391=12),$AF$3,IF(AND(M390=$AG$4,$O391=12),$AG$3,IF(AND(M390=$AH$4,$O391=12),$AH$3,IF(AND(M390=$AI$4,$O391=12),$AI$3,IF(AND(M390=$AJ$4,$O391=12),$AJ$3,IF(AND(M390=$AK$4,$O391=12),$AK$3,IF(AND(M390=$AL$4,$O391=12),$AL$3,IF(AND(M390=$AM$4,$O391=12),$AM$3,IF(AND(M390=$AN$4,$O391=12),$AN$3,IF(AND(M390=$AO$4,$O391=12),$AO$3,IF(AND(M390=$AP$4,$O391=12),$AJ$3," "))))))))))))))))))))))))</f>
        <v>Year 11</v>
      </c>
      <c r="N389" s="104"/>
      <c r="O389" s="89"/>
      <c r="P389" s="89"/>
      <c r="Q389" s="164"/>
      <c r="R389" s="30" t="s">
        <v>8</v>
      </c>
      <c r="S389" s="101">
        <f>IF(B349="Contract College",P$28,P$29)</f>
        <v>14750</v>
      </c>
      <c r="T389" s="101">
        <f t="shared" ref="T389:AE389" si="640">IF(C349="Contract College",Q$28,Q$29)</f>
        <v>12400</v>
      </c>
      <c r="U389" s="101">
        <f t="shared" si="640"/>
        <v>10400</v>
      </c>
      <c r="V389" s="101">
        <f t="shared" si="640"/>
        <v>10400</v>
      </c>
      <c r="W389" s="101">
        <f t="shared" si="640"/>
        <v>10400</v>
      </c>
      <c r="X389" s="101">
        <f t="shared" si="640"/>
        <v>10400</v>
      </c>
      <c r="Y389" s="101">
        <f t="shared" si="640"/>
        <v>10400</v>
      </c>
      <c r="Z389" s="101">
        <f t="shared" si="640"/>
        <v>10400</v>
      </c>
      <c r="AA389" s="101">
        <f t="shared" si="640"/>
        <v>10400</v>
      </c>
      <c r="AB389" s="101">
        <f t="shared" si="640"/>
        <v>10400</v>
      </c>
      <c r="AC389" s="101">
        <f t="shared" si="640"/>
        <v>10400</v>
      </c>
      <c r="AD389" s="101">
        <f t="shared" si="640"/>
        <v>10400</v>
      </c>
      <c r="AE389" s="101">
        <f t="shared" si="640"/>
        <v>10400</v>
      </c>
      <c r="AF389" s="31">
        <v>0</v>
      </c>
      <c r="AG389" t="s">
        <v>212</v>
      </c>
    </row>
    <row r="390" spans="1:33" x14ac:dyDescent="0.35">
      <c r="A390" s="176" t="s">
        <v>102</v>
      </c>
      <c r="B390" s="55" t="str">
        <f t="shared" ref="B390:I390" si="641">+N$2</f>
        <v>FY2023</v>
      </c>
      <c r="C390" s="55" t="str">
        <f t="shared" si="641"/>
        <v>FY2024</v>
      </c>
      <c r="D390" s="55" t="str">
        <f t="shared" si="641"/>
        <v>FY2025</v>
      </c>
      <c r="E390" s="55" t="str">
        <f t="shared" si="641"/>
        <v>FY2026</v>
      </c>
      <c r="F390" s="55" t="str">
        <f t="shared" si="641"/>
        <v>FY2027</v>
      </c>
      <c r="G390" s="55" t="str">
        <f t="shared" si="641"/>
        <v>FY2028</v>
      </c>
      <c r="H390" s="55" t="str">
        <f t="shared" si="641"/>
        <v>FY2029</v>
      </c>
      <c r="I390" s="55" t="str">
        <f t="shared" si="641"/>
        <v>FY2030</v>
      </c>
      <c r="J390" s="55" t="str">
        <f t="shared" ref="J390" si="642">+V$2</f>
        <v>FY2031</v>
      </c>
      <c r="K390" s="55" t="str">
        <f t="shared" ref="K390:M390" si="643">+W$2</f>
        <v>FY2032</v>
      </c>
      <c r="L390" s="55" t="str">
        <f t="shared" si="643"/>
        <v>FY2033</v>
      </c>
      <c r="M390" s="55" t="str">
        <f t="shared" si="643"/>
        <v>FY2034</v>
      </c>
      <c r="N390" s="55"/>
      <c r="O390" s="32" t="s">
        <v>20</v>
      </c>
      <c r="P390" s="89" t="s">
        <v>64</v>
      </c>
      <c r="Q390" s="164"/>
      <c r="R390" s="30" t="s">
        <v>24</v>
      </c>
      <c r="S390" s="101">
        <f>+$P$30</f>
        <v>4046</v>
      </c>
      <c r="T390" s="101">
        <f>IF(ROUND(S390*(1+$AF390),0)=$Q$30,ROUND(S390*(1+$AF390),0),$Q$30)</f>
        <v>4451</v>
      </c>
      <c r="U390" s="101">
        <f t="shared" ref="U390:AE390" si="644">ROUND(T390*(1+$AF390),0)</f>
        <v>4896</v>
      </c>
      <c r="V390" s="101">
        <f t="shared" si="644"/>
        <v>5386</v>
      </c>
      <c r="W390" s="101">
        <f t="shared" si="644"/>
        <v>5925</v>
      </c>
      <c r="X390" s="101">
        <f t="shared" si="644"/>
        <v>6518</v>
      </c>
      <c r="Y390" s="101">
        <f t="shared" si="644"/>
        <v>7170</v>
      </c>
      <c r="Z390" s="101">
        <f t="shared" si="644"/>
        <v>7887</v>
      </c>
      <c r="AA390" s="101">
        <f t="shared" si="644"/>
        <v>8676</v>
      </c>
      <c r="AB390" s="101">
        <f t="shared" si="644"/>
        <v>9544</v>
      </c>
      <c r="AC390" s="101">
        <f t="shared" si="644"/>
        <v>10498</v>
      </c>
      <c r="AD390" s="101">
        <f t="shared" si="644"/>
        <v>11548</v>
      </c>
      <c r="AE390" s="101">
        <f t="shared" si="644"/>
        <v>12703</v>
      </c>
      <c r="AF390" s="31">
        <v>0.1</v>
      </c>
    </row>
    <row r="391" spans="1:33" x14ac:dyDescent="0.35">
      <c r="A391" s="168" t="str">
        <f>CONCATENATE("Base Salary: ",O391," month term")</f>
        <v>Base Salary: 12 month term</v>
      </c>
      <c r="B391" s="62">
        <f>PostdocMinRate</f>
        <v>56484</v>
      </c>
      <c r="C391" s="109">
        <f t="shared" ref="C391:M391" si="645">ROUND(+B391*(1+$P$391),0)</f>
        <v>58179</v>
      </c>
      <c r="D391" s="109">
        <f t="shared" si="645"/>
        <v>59924</v>
      </c>
      <c r="E391" s="109">
        <f t="shared" si="645"/>
        <v>61722</v>
      </c>
      <c r="F391" s="109">
        <f t="shared" si="645"/>
        <v>63574</v>
      </c>
      <c r="G391" s="109">
        <f t="shared" si="645"/>
        <v>65481</v>
      </c>
      <c r="H391" s="109">
        <f t="shared" si="645"/>
        <v>67445</v>
      </c>
      <c r="I391" s="109">
        <f t="shared" si="645"/>
        <v>69468</v>
      </c>
      <c r="J391" s="109">
        <f t="shared" si="645"/>
        <v>71552</v>
      </c>
      <c r="K391" s="109">
        <f t="shared" si="645"/>
        <v>73699</v>
      </c>
      <c r="L391" s="109">
        <f t="shared" si="645"/>
        <v>75910</v>
      </c>
      <c r="M391" s="109">
        <f t="shared" si="645"/>
        <v>78187</v>
      </c>
      <c r="N391" s="109"/>
      <c r="O391" s="319">
        <v>12</v>
      </c>
      <c r="P391" s="320">
        <v>0.03</v>
      </c>
      <c r="Q391" s="164"/>
      <c r="Y391" s="23"/>
    </row>
    <row r="392" spans="1:33" x14ac:dyDescent="0.35">
      <c r="A392" s="168" t="s">
        <v>44</v>
      </c>
      <c r="B392" s="313">
        <v>0</v>
      </c>
      <c r="C392" s="313">
        <v>0</v>
      </c>
      <c r="D392" s="313">
        <v>0</v>
      </c>
      <c r="E392" s="313">
        <v>0</v>
      </c>
      <c r="F392" s="313">
        <v>0</v>
      </c>
      <c r="G392" s="313">
        <v>0</v>
      </c>
      <c r="H392" s="313">
        <v>0</v>
      </c>
      <c r="I392" s="313">
        <v>0</v>
      </c>
      <c r="J392" s="313">
        <v>0</v>
      </c>
      <c r="K392" s="313">
        <v>0</v>
      </c>
      <c r="L392" s="313">
        <v>0</v>
      </c>
      <c r="M392" s="313">
        <v>0</v>
      </c>
      <c r="N392" s="402"/>
      <c r="O392" s="25"/>
      <c r="P392" s="25"/>
      <c r="Q392" s="164"/>
      <c r="Y392" s="23"/>
    </row>
    <row r="393" spans="1:33" x14ac:dyDescent="0.35">
      <c r="A393" s="168" t="str">
        <f>CONCATENATE("FTE for ",O391," Months")</f>
        <v>FTE for 12 Months</v>
      </c>
      <c r="B393" s="395">
        <f t="shared" ref="B393:L393" si="646">+B392/$O391</f>
        <v>0</v>
      </c>
      <c r="C393" s="395">
        <f t="shared" si="646"/>
        <v>0</v>
      </c>
      <c r="D393" s="395">
        <f t="shared" si="646"/>
        <v>0</v>
      </c>
      <c r="E393" s="395">
        <f t="shared" si="646"/>
        <v>0</v>
      </c>
      <c r="F393" s="395">
        <f t="shared" si="646"/>
        <v>0</v>
      </c>
      <c r="G393" s="395">
        <f t="shared" si="646"/>
        <v>0</v>
      </c>
      <c r="H393" s="395">
        <f t="shared" si="646"/>
        <v>0</v>
      </c>
      <c r="I393" s="395">
        <f t="shared" si="646"/>
        <v>0</v>
      </c>
      <c r="J393" s="395">
        <f t="shared" si="646"/>
        <v>0</v>
      </c>
      <c r="K393" s="395">
        <f t="shared" si="646"/>
        <v>0</v>
      </c>
      <c r="L393" s="395">
        <f t="shared" si="646"/>
        <v>0</v>
      </c>
      <c r="M393" s="395">
        <f t="shared" ref="M393" si="647">+M392/$O391</f>
        <v>0</v>
      </c>
      <c r="N393" s="403"/>
      <c r="O393" s="89"/>
      <c r="P393" s="89"/>
      <c r="Q393" s="164"/>
      <c r="S393" s="53" t="str">
        <f t="shared" ref="S393:AC393" si="648">+S312</f>
        <v>Fall 2023</v>
      </c>
      <c r="T393" s="53" t="str">
        <f t="shared" si="648"/>
        <v>Fall 2024</v>
      </c>
      <c r="U393" s="53" t="str">
        <f t="shared" si="648"/>
        <v>Fall 2025</v>
      </c>
      <c r="V393" s="53" t="str">
        <f t="shared" si="648"/>
        <v>Fall 2026</v>
      </c>
      <c r="W393" s="53" t="str">
        <f t="shared" si="648"/>
        <v>Fall 2027</v>
      </c>
      <c r="X393" s="53" t="str">
        <f t="shared" si="648"/>
        <v>Fall 2028</v>
      </c>
      <c r="Y393" s="53" t="str">
        <f t="shared" si="648"/>
        <v>Fall 2029</v>
      </c>
      <c r="Z393" s="53" t="str">
        <f t="shared" si="648"/>
        <v>Fall 2030</v>
      </c>
      <c r="AA393" s="53" t="str">
        <f t="shared" si="648"/>
        <v>Fall 2031</v>
      </c>
      <c r="AB393" s="53" t="str">
        <f t="shared" si="648"/>
        <v>Fall 2032</v>
      </c>
      <c r="AC393" s="53" t="str">
        <f t="shared" si="648"/>
        <v>Fall 2033</v>
      </c>
      <c r="AD393" s="53" t="str">
        <f t="shared" ref="AD393" si="649">+AD312</f>
        <v>Fall 2034</v>
      </c>
    </row>
    <row r="394" spans="1:33" x14ac:dyDescent="0.35">
      <c r="A394" s="168" t="s">
        <v>21</v>
      </c>
      <c r="B394" s="110">
        <f t="shared" ref="B394:K394" si="650">ROUND((B391*B393*$Q$35)+(C391*B393*$Q$36),0)</f>
        <v>0</v>
      </c>
      <c r="C394" s="110">
        <f t="shared" si="650"/>
        <v>0</v>
      </c>
      <c r="D394" s="110">
        <f t="shared" si="650"/>
        <v>0</v>
      </c>
      <c r="E394" s="110">
        <f t="shared" si="650"/>
        <v>0</v>
      </c>
      <c r="F394" s="110">
        <f t="shared" si="650"/>
        <v>0</v>
      </c>
      <c r="G394" s="110">
        <f t="shared" si="650"/>
        <v>0</v>
      </c>
      <c r="H394" s="110">
        <f t="shared" si="650"/>
        <v>0</v>
      </c>
      <c r="I394" s="110">
        <f t="shared" si="650"/>
        <v>0</v>
      </c>
      <c r="J394" s="110">
        <f t="shared" si="650"/>
        <v>0</v>
      </c>
      <c r="K394" s="110">
        <f t="shared" si="650"/>
        <v>0</v>
      </c>
      <c r="L394" s="110">
        <f>ROUND((L391*L393*$Q$35)+(N391*L393*$Q$36),0)</f>
        <v>0</v>
      </c>
      <c r="M394" s="110">
        <f>ROUND((M391*M393*$Q$35)+(O391*M393*$Q$36),0)</f>
        <v>0</v>
      </c>
      <c r="N394" s="404"/>
      <c r="O394" s="89"/>
      <c r="P394" s="89"/>
      <c r="Q394" s="179"/>
      <c r="S394" s="53" t="str">
        <f t="shared" ref="S394:AC394" si="651">+S313</f>
        <v>Spring 2024</v>
      </c>
      <c r="T394" s="53" t="str">
        <f t="shared" si="651"/>
        <v>Spring 2025</v>
      </c>
      <c r="U394" s="53" t="str">
        <f t="shared" si="651"/>
        <v>Spring 2026</v>
      </c>
      <c r="V394" s="53" t="str">
        <f t="shared" si="651"/>
        <v>Spring 2027</v>
      </c>
      <c r="W394" s="53" t="str">
        <f t="shared" si="651"/>
        <v>Spring 2028</v>
      </c>
      <c r="X394" s="53" t="str">
        <f t="shared" si="651"/>
        <v>Spring 2029</v>
      </c>
      <c r="Y394" s="53" t="str">
        <f t="shared" si="651"/>
        <v>Spring 2030</v>
      </c>
      <c r="Z394" s="53" t="str">
        <f t="shared" si="651"/>
        <v>Spring 2031</v>
      </c>
      <c r="AA394" s="53" t="str">
        <f t="shared" si="651"/>
        <v>Spring 2032</v>
      </c>
      <c r="AB394" s="53" t="str">
        <f t="shared" si="651"/>
        <v>Spring 2033</v>
      </c>
      <c r="AC394" s="53" t="str">
        <f t="shared" si="651"/>
        <v>Spring 2034</v>
      </c>
      <c r="AD394" s="53" t="str">
        <f t="shared" ref="AD394" si="652">+AD313</f>
        <v>Spring 2035</v>
      </c>
    </row>
    <row r="395" spans="1:33" x14ac:dyDescent="0.35">
      <c r="A395" s="168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6"/>
      <c r="P395" s="26"/>
      <c r="Q395" s="180"/>
      <c r="S395" s="53" t="str">
        <f t="shared" ref="S395:AC395" si="653">+S314</f>
        <v>Summer 2024</v>
      </c>
      <c r="T395" s="53" t="str">
        <f t="shared" si="653"/>
        <v>Summer 2025</v>
      </c>
      <c r="U395" s="53" t="str">
        <f t="shared" si="653"/>
        <v>Summer 2026</v>
      </c>
      <c r="V395" s="53" t="str">
        <f t="shared" si="653"/>
        <v>Summer 2027</v>
      </c>
      <c r="W395" s="53" t="str">
        <f t="shared" si="653"/>
        <v>Summer 2028</v>
      </c>
      <c r="X395" s="53" t="str">
        <f t="shared" si="653"/>
        <v>Summer 2029</v>
      </c>
      <c r="Y395" s="53" t="str">
        <f t="shared" si="653"/>
        <v>Summer 2030</v>
      </c>
      <c r="Z395" s="53" t="str">
        <f t="shared" si="653"/>
        <v>Summer 2031</v>
      </c>
      <c r="AA395" s="53" t="str">
        <f t="shared" si="653"/>
        <v>Summer 2032</v>
      </c>
      <c r="AB395" s="53" t="str">
        <f t="shared" si="653"/>
        <v>Summer 2033</v>
      </c>
      <c r="AC395" s="53" t="str">
        <f t="shared" si="653"/>
        <v>Summer 2034</v>
      </c>
      <c r="AD395" s="53" t="str">
        <f t="shared" ref="AD395" si="654">+AD314</f>
        <v>Summer 2035</v>
      </c>
    </row>
    <row r="396" spans="1:33" x14ac:dyDescent="0.35">
      <c r="A396" s="168"/>
      <c r="B396" s="104" t="str">
        <f t="shared" ref="B396:L396" si="655">IF(AND(B397=$AE$5,$O398=9),$AE$3,IF(AND(B397=$AF$5,$O398=9),$AF$3,IF(AND(B397=$AG$5,$O398=9),$AG$3,IF(AND(B397=$AH$5,$O398=9),$AH$3,IF(AND(B397=$AI$5,$O398=9),$AI$3,IF(AND(B397=$AJ$5,$O398=9),$AJ$3,IF(AND(B397=$AK$5,$O398=9),$AK$3,IF(AND(B397=$AL$5,$O398=9),$AL$3,IF(AND(B397=$AM$5,$O398=9),$AM$3,IF(AND(B397=$AN$5,$O398=9),$AN$3,IF(AND(B397=$AO$5,$O398=9),$AO$3,IF(AND(B397=$AP$5,$O398=9),$AJ$3,IF(AND(B397=$AE$4,$O398=12),$AE$3,IF(AND(B397=$AF$4,$O398=12),$AF$3,IF(AND(B397=$AG$4,$O398=12),$AG$3,IF(AND(B397=$AH$4,$O398=12),$AH$3,IF(AND(B397=$AI$4,$O398=12),$AI$3,IF(AND(B397=$AJ$4,$O398=12),$AJ$3,IF(AND(B397=$AK$4,$O398=12),$AK$3,IF(AND(B397=$AL$4,$O398=12),$AL$3,IF(AND(B397=$AM$4,$O398=12),$AM$3,IF(AND(B397=$AN$4,$O398=12),$AN$3,IF(AND(B397=$AO$4,$O398=12),$AO$3,IF(AND(B397=$AP$4,$O398=12),$AJ$3," "))))))))))))))))))))))))</f>
        <v xml:space="preserve"> </v>
      </c>
      <c r="C396" s="104" t="str">
        <f t="shared" si="655"/>
        <v>Year 1</v>
      </c>
      <c r="D396" s="104" t="str">
        <f t="shared" si="655"/>
        <v>Year 2</v>
      </c>
      <c r="E396" s="104" t="str">
        <f t="shared" si="655"/>
        <v>Year 3</v>
      </c>
      <c r="F396" s="104" t="str">
        <f t="shared" si="655"/>
        <v>Year 4</v>
      </c>
      <c r="G396" s="104" t="str">
        <f t="shared" si="655"/>
        <v>Year 5</v>
      </c>
      <c r="H396" s="104" t="str">
        <f t="shared" si="655"/>
        <v>Year 6</v>
      </c>
      <c r="I396" s="104" t="str">
        <f t="shared" si="655"/>
        <v>Year 7</v>
      </c>
      <c r="J396" s="104" t="str">
        <f t="shared" si="655"/>
        <v>Year 8</v>
      </c>
      <c r="K396" s="104" t="str">
        <f t="shared" si="655"/>
        <v>Year 9</v>
      </c>
      <c r="L396" s="104" t="str">
        <f t="shared" si="655"/>
        <v>Year 10</v>
      </c>
      <c r="M396" s="104" t="str">
        <f t="shared" ref="M396" si="656">IF(AND(M397=$AE$5,$O398=9),$AE$3,IF(AND(M397=$AF$5,$O398=9),$AF$3,IF(AND(M397=$AG$5,$O398=9),$AG$3,IF(AND(M397=$AH$5,$O398=9),$AH$3,IF(AND(M397=$AI$5,$O398=9),$AI$3,IF(AND(M397=$AJ$5,$O398=9),$AJ$3,IF(AND(M397=$AK$5,$O398=9),$AK$3,IF(AND(M397=$AL$5,$O398=9),$AL$3,IF(AND(M397=$AM$5,$O398=9),$AM$3,IF(AND(M397=$AN$5,$O398=9),$AN$3,IF(AND(M397=$AO$5,$O398=9),$AO$3,IF(AND(M397=$AP$5,$O398=9),$AJ$3,IF(AND(M397=$AE$4,$O398=12),$AE$3,IF(AND(M397=$AF$4,$O398=12),$AF$3,IF(AND(M397=$AG$4,$O398=12),$AG$3,IF(AND(M397=$AH$4,$O398=12),$AH$3,IF(AND(M397=$AI$4,$O398=12),$AI$3,IF(AND(M397=$AJ$4,$O398=12),$AJ$3,IF(AND(M397=$AK$4,$O398=12),$AK$3,IF(AND(M397=$AL$4,$O398=12),$AL$3,IF(AND(M397=$AM$4,$O398=12),$AM$3,IF(AND(M397=$AN$4,$O398=12),$AN$3,IF(AND(M397=$AO$4,$O398=12),$AO$3,IF(AND(M397=$AP$4,$O398=12),$AJ$3," "))))))))))))))))))))))))</f>
        <v>Year 11</v>
      </c>
      <c r="N396" s="104"/>
      <c r="O396" s="26"/>
      <c r="P396" s="26"/>
      <c r="Q396" s="180"/>
      <c r="S396" s="34" t="str">
        <f t="shared" ref="S396:AC396" si="657">+S315</f>
        <v>FY2024</v>
      </c>
      <c r="T396" s="34" t="str">
        <f t="shared" si="657"/>
        <v>FY2025</v>
      </c>
      <c r="U396" s="34" t="str">
        <f t="shared" si="657"/>
        <v>FY2026</v>
      </c>
      <c r="V396" s="34" t="str">
        <f t="shared" si="657"/>
        <v>FY2027</v>
      </c>
      <c r="W396" s="34" t="str">
        <f t="shared" si="657"/>
        <v>FY2028</v>
      </c>
      <c r="X396" s="34" t="str">
        <f t="shared" si="657"/>
        <v>FY2029</v>
      </c>
      <c r="Y396" s="34" t="str">
        <f t="shared" si="657"/>
        <v>FY2030</v>
      </c>
      <c r="Z396" s="34" t="str">
        <f t="shared" si="657"/>
        <v>FY2031</v>
      </c>
      <c r="AA396" s="34" t="str">
        <f t="shared" si="657"/>
        <v>FY2032</v>
      </c>
      <c r="AB396" s="34" t="str">
        <f t="shared" si="657"/>
        <v>FY2033</v>
      </c>
      <c r="AC396" s="34" t="str">
        <f t="shared" si="657"/>
        <v>FY2034</v>
      </c>
      <c r="AD396" s="34" t="str">
        <f t="shared" ref="AD396" si="658">+AD315</f>
        <v>FY2035</v>
      </c>
    </row>
    <row r="397" spans="1:33" ht="15" thickBot="1" x14ac:dyDescent="0.4">
      <c r="A397" s="176" t="s">
        <v>74</v>
      </c>
      <c r="B397" s="55" t="str">
        <f t="shared" ref="B397:I397" si="659">+N$2</f>
        <v>FY2023</v>
      </c>
      <c r="C397" s="55" t="str">
        <f t="shared" si="659"/>
        <v>FY2024</v>
      </c>
      <c r="D397" s="55" t="str">
        <f t="shared" si="659"/>
        <v>FY2025</v>
      </c>
      <c r="E397" s="55" t="str">
        <f t="shared" si="659"/>
        <v>FY2026</v>
      </c>
      <c r="F397" s="55" t="str">
        <f t="shared" si="659"/>
        <v>FY2027</v>
      </c>
      <c r="G397" s="55" t="str">
        <f t="shared" si="659"/>
        <v>FY2028</v>
      </c>
      <c r="H397" s="55" t="str">
        <f t="shared" si="659"/>
        <v>FY2029</v>
      </c>
      <c r="I397" s="55" t="str">
        <f t="shared" si="659"/>
        <v>FY2030</v>
      </c>
      <c r="J397" s="55" t="str">
        <f t="shared" ref="J397" si="660">+V$2</f>
        <v>FY2031</v>
      </c>
      <c r="K397" s="55" t="str">
        <f t="shared" ref="K397:M397" si="661">+W$2</f>
        <v>FY2032</v>
      </c>
      <c r="L397" s="55" t="str">
        <f t="shared" si="661"/>
        <v>FY2033</v>
      </c>
      <c r="M397" s="55" t="str">
        <f t="shared" si="661"/>
        <v>FY2034</v>
      </c>
      <c r="N397" s="55"/>
      <c r="O397" s="32" t="s">
        <v>20</v>
      </c>
      <c r="P397" s="89" t="s">
        <v>64</v>
      </c>
      <c r="Q397" s="179"/>
      <c r="R397" s="35" t="s">
        <v>71</v>
      </c>
      <c r="S397" s="50" t="s">
        <v>1</v>
      </c>
      <c r="T397" s="51" t="s">
        <v>2</v>
      </c>
      <c r="U397" s="51" t="s">
        <v>3</v>
      </c>
      <c r="V397" s="51" t="s">
        <v>39</v>
      </c>
      <c r="W397" s="51" t="s">
        <v>45</v>
      </c>
      <c r="X397" s="51" t="s">
        <v>185</v>
      </c>
      <c r="Y397" s="51" t="s">
        <v>186</v>
      </c>
      <c r="Z397" s="51" t="s">
        <v>187</v>
      </c>
      <c r="AA397" s="51" t="s">
        <v>188</v>
      </c>
      <c r="AB397" s="51" t="s">
        <v>189</v>
      </c>
      <c r="AC397" s="51" t="s">
        <v>190</v>
      </c>
      <c r="AD397" s="51" t="s">
        <v>191</v>
      </c>
    </row>
    <row r="398" spans="1:33" x14ac:dyDescent="0.35">
      <c r="A398" s="168" t="str">
        <f>CONCATENATE("Base Salary: ",O398," month term")</f>
        <v>Base Salary: 12 month term</v>
      </c>
      <c r="B398" s="314">
        <v>47476</v>
      </c>
      <c r="C398" s="109">
        <f>B398</f>
        <v>47476</v>
      </c>
      <c r="D398" s="109">
        <f t="shared" ref="D398:M398" si="662">ROUND(+C398*(1+$P$398),0)</f>
        <v>48900</v>
      </c>
      <c r="E398" s="109">
        <f t="shared" si="662"/>
        <v>50367</v>
      </c>
      <c r="F398" s="109">
        <f t="shared" si="662"/>
        <v>51878</v>
      </c>
      <c r="G398" s="109">
        <f t="shared" si="662"/>
        <v>53434</v>
      </c>
      <c r="H398" s="109">
        <f t="shared" si="662"/>
        <v>55037</v>
      </c>
      <c r="I398" s="109">
        <f t="shared" si="662"/>
        <v>56688</v>
      </c>
      <c r="J398" s="109">
        <f t="shared" si="662"/>
        <v>58389</v>
      </c>
      <c r="K398" s="109">
        <f t="shared" si="662"/>
        <v>60141</v>
      </c>
      <c r="L398" s="109">
        <f t="shared" si="662"/>
        <v>61945</v>
      </c>
      <c r="M398" s="109">
        <f t="shared" si="662"/>
        <v>63803</v>
      </c>
      <c r="N398" s="109"/>
      <c r="O398" s="319">
        <v>12</v>
      </c>
      <c r="P398" s="312">
        <v>0.03</v>
      </c>
      <c r="Q398" s="181"/>
      <c r="R398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398" s="60">
        <f t="shared" ref="S398:X400" si="663">+B404</f>
        <v>0</v>
      </c>
      <c r="T398" s="60">
        <f t="shared" si="663"/>
        <v>0</v>
      </c>
      <c r="U398" s="60">
        <f t="shared" si="663"/>
        <v>0</v>
      </c>
      <c r="V398" s="60">
        <f t="shared" si="663"/>
        <v>0</v>
      </c>
      <c r="W398" s="60">
        <f t="shared" si="663"/>
        <v>0</v>
      </c>
      <c r="X398" s="60">
        <f t="shared" si="663"/>
        <v>0</v>
      </c>
      <c r="Y398" s="60">
        <f t="shared" ref="Y398:Y400" si="664">+H404</f>
        <v>0</v>
      </c>
      <c r="Z398" s="60">
        <f t="shared" ref="Z398:Z400" si="665">+I404</f>
        <v>0</v>
      </c>
      <c r="AA398" s="60">
        <f t="shared" ref="AA398:AA400" si="666">+J404</f>
        <v>0</v>
      </c>
      <c r="AB398" s="60">
        <f t="shared" ref="AB398:AB400" si="667">+K404</f>
        <v>0</v>
      </c>
      <c r="AC398" s="60">
        <f t="shared" ref="AC398:AD400" si="668">+L404</f>
        <v>0</v>
      </c>
      <c r="AD398" s="60">
        <f t="shared" si="668"/>
        <v>0</v>
      </c>
    </row>
    <row r="399" spans="1:33" x14ac:dyDescent="0.35">
      <c r="A399" s="168" t="s">
        <v>44</v>
      </c>
      <c r="B399" s="313">
        <v>0</v>
      </c>
      <c r="C399" s="313">
        <v>0</v>
      </c>
      <c r="D399" s="313">
        <v>0</v>
      </c>
      <c r="E399" s="313">
        <v>0</v>
      </c>
      <c r="F399" s="313">
        <v>0</v>
      </c>
      <c r="G399" s="313">
        <v>0</v>
      </c>
      <c r="H399" s="313">
        <v>0</v>
      </c>
      <c r="I399" s="313">
        <v>0</v>
      </c>
      <c r="J399" s="313">
        <v>0</v>
      </c>
      <c r="K399" s="313">
        <v>0</v>
      </c>
      <c r="L399" s="313">
        <v>0</v>
      </c>
      <c r="M399" s="313">
        <v>0</v>
      </c>
      <c r="N399" s="402"/>
      <c r="O399" s="25"/>
      <c r="P399" s="25"/>
      <c r="Q399" s="168"/>
      <c r="R399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399" s="60">
        <f t="shared" si="663"/>
        <v>0</v>
      </c>
      <c r="T399" s="60">
        <f t="shared" si="663"/>
        <v>0</v>
      </c>
      <c r="U399" s="60">
        <f t="shared" si="663"/>
        <v>0</v>
      </c>
      <c r="V399" s="60">
        <f t="shared" si="663"/>
        <v>0</v>
      </c>
      <c r="W399" s="60">
        <f t="shared" si="663"/>
        <v>0</v>
      </c>
      <c r="X399" s="60">
        <f t="shared" si="663"/>
        <v>0</v>
      </c>
      <c r="Y399" s="60">
        <f t="shared" si="664"/>
        <v>0</v>
      </c>
      <c r="Z399" s="60">
        <f t="shared" si="665"/>
        <v>0</v>
      </c>
      <c r="AA399" s="60">
        <f t="shared" si="666"/>
        <v>0</v>
      </c>
      <c r="AB399" s="60">
        <f t="shared" si="667"/>
        <v>0</v>
      </c>
      <c r="AC399" s="60">
        <f t="shared" si="668"/>
        <v>0</v>
      </c>
      <c r="AD399" s="60">
        <f t="shared" si="668"/>
        <v>0</v>
      </c>
    </row>
    <row r="400" spans="1:33" x14ac:dyDescent="0.35">
      <c r="A400" s="168" t="str">
        <f>CONCATENATE("FTE for ",O398," Months")</f>
        <v>FTE for 12 Months</v>
      </c>
      <c r="B400" s="395">
        <f t="shared" ref="B400:L400" si="669">+B399/$O398</f>
        <v>0</v>
      </c>
      <c r="C400" s="395">
        <f t="shared" si="669"/>
        <v>0</v>
      </c>
      <c r="D400" s="395">
        <f t="shared" si="669"/>
        <v>0</v>
      </c>
      <c r="E400" s="395">
        <f t="shared" si="669"/>
        <v>0</v>
      </c>
      <c r="F400" s="395">
        <f t="shared" si="669"/>
        <v>0</v>
      </c>
      <c r="G400" s="395">
        <f t="shared" si="669"/>
        <v>0</v>
      </c>
      <c r="H400" s="395">
        <f t="shared" si="669"/>
        <v>0</v>
      </c>
      <c r="I400" s="395">
        <f t="shared" si="669"/>
        <v>0</v>
      </c>
      <c r="J400" s="395">
        <f t="shared" si="669"/>
        <v>0</v>
      </c>
      <c r="K400" s="395">
        <f t="shared" si="669"/>
        <v>0</v>
      </c>
      <c r="L400" s="395">
        <f t="shared" si="669"/>
        <v>0</v>
      </c>
      <c r="M400" s="395">
        <f t="shared" ref="M400" si="670">+M399/$O398</f>
        <v>0</v>
      </c>
      <c r="N400" s="403"/>
      <c r="O400" s="89"/>
      <c r="P400" s="89"/>
      <c r="Q400" s="179"/>
      <c r="R400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400" s="60">
        <f t="shared" si="663"/>
        <v>0</v>
      </c>
      <c r="T400" s="60">
        <f t="shared" si="663"/>
        <v>0</v>
      </c>
      <c r="U400" s="60">
        <f t="shared" si="663"/>
        <v>0</v>
      </c>
      <c r="V400" s="60">
        <f t="shared" si="663"/>
        <v>0</v>
      </c>
      <c r="W400" s="60">
        <f t="shared" si="663"/>
        <v>0</v>
      </c>
      <c r="X400" s="60">
        <f t="shared" si="663"/>
        <v>0</v>
      </c>
      <c r="Y400" s="60">
        <f t="shared" si="664"/>
        <v>0</v>
      </c>
      <c r="Z400" s="60">
        <f t="shared" si="665"/>
        <v>0</v>
      </c>
      <c r="AA400" s="60">
        <f t="shared" si="666"/>
        <v>0</v>
      </c>
      <c r="AB400" s="60">
        <f t="shared" si="667"/>
        <v>0</v>
      </c>
      <c r="AC400" s="60">
        <f t="shared" si="668"/>
        <v>0</v>
      </c>
      <c r="AD400" s="60">
        <f t="shared" si="668"/>
        <v>0</v>
      </c>
    </row>
    <row r="401" spans="1:28" x14ac:dyDescent="0.35">
      <c r="A401" s="168" t="s">
        <v>21</v>
      </c>
      <c r="B401" s="110">
        <f t="shared" ref="B401:K401" si="671">ROUND((B398*B400*$Q$35)+(C398*B400*$Q$36),0)</f>
        <v>0</v>
      </c>
      <c r="C401" s="110">
        <f t="shared" si="671"/>
        <v>0</v>
      </c>
      <c r="D401" s="110">
        <f t="shared" si="671"/>
        <v>0</v>
      </c>
      <c r="E401" s="110">
        <f t="shared" si="671"/>
        <v>0</v>
      </c>
      <c r="F401" s="110">
        <f t="shared" si="671"/>
        <v>0</v>
      </c>
      <c r="G401" s="110">
        <f t="shared" si="671"/>
        <v>0</v>
      </c>
      <c r="H401" s="110">
        <f t="shared" si="671"/>
        <v>0</v>
      </c>
      <c r="I401" s="110">
        <f t="shared" si="671"/>
        <v>0</v>
      </c>
      <c r="J401" s="110">
        <f t="shared" si="671"/>
        <v>0</v>
      </c>
      <c r="K401" s="110">
        <f t="shared" si="671"/>
        <v>0</v>
      </c>
      <c r="L401" s="110">
        <f>ROUND((L398*L400*$Q$35)+(N398*L400*$Q$36),0)</f>
        <v>0</v>
      </c>
      <c r="M401" s="110">
        <f>ROUND((M398*M400*$Q$35)+(O398*M400*$Q$36),0)</f>
        <v>0</v>
      </c>
      <c r="N401" s="404"/>
      <c r="O401" s="89"/>
      <c r="P401" s="89"/>
      <c r="Q401" s="179"/>
      <c r="R401" s="25"/>
      <c r="S401" s="33"/>
      <c r="T401" s="33"/>
      <c r="U401" s="33"/>
      <c r="V401" s="33"/>
      <c r="W401" s="33"/>
      <c r="X401" s="33"/>
      <c r="Y401" s="23"/>
    </row>
    <row r="402" spans="1:28" x14ac:dyDescent="0.35">
      <c r="A402" s="168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89"/>
      <c r="P402" s="89"/>
      <c r="Q402" s="179"/>
      <c r="R402" s="25"/>
      <c r="S402" s="33"/>
      <c r="T402" s="33"/>
      <c r="U402" s="33"/>
      <c r="V402" s="33"/>
      <c r="W402" s="33"/>
      <c r="X402" s="33"/>
      <c r="Y402" s="23"/>
    </row>
    <row r="403" spans="1:28" ht="15" thickBot="1" x14ac:dyDescent="0.4">
      <c r="A403" s="176" t="s">
        <v>70</v>
      </c>
      <c r="B403" s="24" t="s">
        <v>1</v>
      </c>
      <c r="C403" s="24" t="s">
        <v>2</v>
      </c>
      <c r="D403" s="24" t="s">
        <v>3</v>
      </c>
      <c r="E403" s="24" t="s">
        <v>39</v>
      </c>
      <c r="F403" s="24" t="s">
        <v>45</v>
      </c>
      <c r="G403" s="24" t="s">
        <v>185</v>
      </c>
      <c r="H403" s="24" t="s">
        <v>186</v>
      </c>
      <c r="I403" s="24" t="s">
        <v>187</v>
      </c>
      <c r="J403" s="24" t="s">
        <v>188</v>
      </c>
      <c r="K403" s="24" t="s">
        <v>189</v>
      </c>
      <c r="L403" s="23"/>
      <c r="M403" s="23"/>
      <c r="N403" s="23"/>
      <c r="O403" s="89"/>
      <c r="P403" s="89"/>
      <c r="Q403" s="179"/>
      <c r="R403" s="427" t="s">
        <v>105</v>
      </c>
      <c r="S403" s="50" t="s">
        <v>1</v>
      </c>
      <c r="T403" s="51" t="s">
        <v>2</v>
      </c>
      <c r="U403" s="51" t="s">
        <v>3</v>
      </c>
      <c r="V403" s="51" t="s">
        <v>39</v>
      </c>
      <c r="W403" s="51" t="s">
        <v>45</v>
      </c>
      <c r="X403" s="51" t="s">
        <v>185</v>
      </c>
      <c r="Y403" s="51" t="s">
        <v>186</v>
      </c>
      <c r="Z403" s="51" t="s">
        <v>187</v>
      </c>
      <c r="AA403" s="51" t="s">
        <v>188</v>
      </c>
      <c r="AB403" s="51" t="s">
        <v>189</v>
      </c>
    </row>
    <row r="404" spans="1:28" x14ac:dyDescent="0.35">
      <c r="A404" s="168" t="str">
        <f>+R398</f>
        <v>Number of Students (Fall)</v>
      </c>
      <c r="B404" s="315">
        <v>0</v>
      </c>
      <c r="C404" s="315">
        <v>0</v>
      </c>
      <c r="D404" s="315">
        <v>0</v>
      </c>
      <c r="E404" s="315">
        <v>0</v>
      </c>
      <c r="F404" s="315">
        <v>0</v>
      </c>
      <c r="G404" s="315">
        <v>0</v>
      </c>
      <c r="H404" s="315">
        <v>0</v>
      </c>
      <c r="I404" s="315">
        <v>0</v>
      </c>
      <c r="J404" s="315">
        <v>0</v>
      </c>
      <c r="K404" s="315">
        <v>0</v>
      </c>
      <c r="L404" s="23"/>
      <c r="M404" s="23"/>
      <c r="N404" s="23"/>
      <c r="O404" s="89"/>
      <c r="P404" s="89"/>
      <c r="Q404" s="179"/>
      <c r="R404" s="36" t="s">
        <v>22</v>
      </c>
      <c r="S404" s="37">
        <f>SUM(S414:S416)</f>
        <v>0</v>
      </c>
      <c r="T404" s="37">
        <f>SUM(T414:T416)</f>
        <v>0</v>
      </c>
      <c r="U404" s="37">
        <f>SUM(U414:U416)</f>
        <v>0</v>
      </c>
      <c r="V404" s="37">
        <f>SUM(V414:V416)</f>
        <v>0</v>
      </c>
      <c r="W404" s="37">
        <f t="shared" ref="W404:AB404" si="672">SUM(W414:W416)</f>
        <v>0</v>
      </c>
      <c r="X404" s="37">
        <f t="shared" si="672"/>
        <v>0</v>
      </c>
      <c r="Y404" s="37">
        <f t="shared" si="672"/>
        <v>0</v>
      </c>
      <c r="Z404" s="37">
        <f t="shared" si="672"/>
        <v>0</v>
      </c>
      <c r="AA404" s="37">
        <f t="shared" si="672"/>
        <v>0</v>
      </c>
      <c r="AB404" s="37">
        <f t="shared" si="672"/>
        <v>0</v>
      </c>
    </row>
    <row r="405" spans="1:28" x14ac:dyDescent="0.35">
      <c r="A405" s="168" t="str">
        <f>+R399</f>
        <v>Number of Students (Spring)</v>
      </c>
      <c r="B405" s="316">
        <f>+B404</f>
        <v>0</v>
      </c>
      <c r="C405" s="316">
        <f>+C404</f>
        <v>0</v>
      </c>
      <c r="D405" s="316">
        <f>+D404</f>
        <v>0</v>
      </c>
      <c r="E405" s="316">
        <f>+E404</f>
        <v>0</v>
      </c>
      <c r="F405" s="316">
        <f>+F404</f>
        <v>0</v>
      </c>
      <c r="G405" s="316">
        <f t="shared" ref="G405:K405" si="673">+G404</f>
        <v>0</v>
      </c>
      <c r="H405" s="316">
        <f t="shared" si="673"/>
        <v>0</v>
      </c>
      <c r="I405" s="316">
        <f t="shared" si="673"/>
        <v>0</v>
      </c>
      <c r="J405" s="316">
        <f t="shared" si="673"/>
        <v>0</v>
      </c>
      <c r="K405" s="316">
        <f t="shared" si="673"/>
        <v>0</v>
      </c>
      <c r="L405" s="23"/>
      <c r="M405" s="23"/>
      <c r="N405" s="23"/>
      <c r="O405" s="89"/>
      <c r="P405" s="89"/>
      <c r="Q405" s="179"/>
      <c r="R405" s="36" t="s">
        <v>8</v>
      </c>
      <c r="S405" s="37">
        <f>SUM(S417:S419)</f>
        <v>0</v>
      </c>
      <c r="T405" s="37">
        <f>SUM(T417:T419)</f>
        <v>0</v>
      </c>
      <c r="U405" s="37">
        <f>SUM(U417:U419)</f>
        <v>0</v>
      </c>
      <c r="V405" s="37">
        <f>SUM(V417:V419)</f>
        <v>0</v>
      </c>
      <c r="W405" s="37">
        <f t="shared" ref="W405:AB405" si="674">SUM(W417:W419)</f>
        <v>0</v>
      </c>
      <c r="X405" s="37">
        <f t="shared" si="674"/>
        <v>0</v>
      </c>
      <c r="Y405" s="37">
        <f t="shared" si="674"/>
        <v>0</v>
      </c>
      <c r="Z405" s="37">
        <f t="shared" si="674"/>
        <v>0</v>
      </c>
      <c r="AA405" s="37">
        <f t="shared" si="674"/>
        <v>0</v>
      </c>
      <c r="AB405" s="37">
        <f t="shared" si="674"/>
        <v>0</v>
      </c>
    </row>
    <row r="406" spans="1:28" x14ac:dyDescent="0.35">
      <c r="A406" s="168" t="str">
        <f>+R400</f>
        <v>Number of Students (Summer)</v>
      </c>
      <c r="B406" s="316">
        <f>+B404</f>
        <v>0</v>
      </c>
      <c r="C406" s="316">
        <f>+C404</f>
        <v>0</v>
      </c>
      <c r="D406" s="316">
        <f>+D404</f>
        <v>0</v>
      </c>
      <c r="E406" s="316">
        <f>+E404</f>
        <v>0</v>
      </c>
      <c r="F406" s="316">
        <f>+F404</f>
        <v>0</v>
      </c>
      <c r="G406" s="316">
        <f t="shared" ref="G406:K406" si="675">+G404</f>
        <v>0</v>
      </c>
      <c r="H406" s="316">
        <f t="shared" si="675"/>
        <v>0</v>
      </c>
      <c r="I406" s="316">
        <f t="shared" si="675"/>
        <v>0</v>
      </c>
      <c r="J406" s="316">
        <f t="shared" si="675"/>
        <v>0</v>
      </c>
      <c r="K406" s="316">
        <f t="shared" si="675"/>
        <v>0</v>
      </c>
      <c r="L406" s="23"/>
      <c r="M406" s="23"/>
      <c r="N406" s="23"/>
      <c r="O406" s="227"/>
      <c r="P406" s="89"/>
      <c r="Q406" s="179"/>
      <c r="R406" s="36" t="s">
        <v>9</v>
      </c>
      <c r="S406" s="37">
        <f>SUM(S420:S422)</f>
        <v>0</v>
      </c>
      <c r="T406" s="37">
        <f>SUM(T420:T422)</f>
        <v>0</v>
      </c>
      <c r="U406" s="37">
        <f>SUM(U420:U422)</f>
        <v>0</v>
      </c>
      <c r="V406" s="37">
        <f>SUM(V420:V422)</f>
        <v>0</v>
      </c>
      <c r="W406" s="37">
        <f t="shared" ref="W406:AB406" si="676">SUM(W420:W422)</f>
        <v>0</v>
      </c>
      <c r="X406" s="37">
        <f t="shared" si="676"/>
        <v>0</v>
      </c>
      <c r="Y406" s="37">
        <f t="shared" si="676"/>
        <v>0</v>
      </c>
      <c r="Z406" s="37">
        <f t="shared" si="676"/>
        <v>0</v>
      </c>
      <c r="AA406" s="37">
        <f t="shared" si="676"/>
        <v>0</v>
      </c>
      <c r="AB406" s="37">
        <f t="shared" si="676"/>
        <v>0</v>
      </c>
    </row>
    <row r="407" spans="1:28" ht="15" thickBot="1" x14ac:dyDescent="0.4">
      <c r="A407" s="168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23"/>
      <c r="M407" s="23"/>
      <c r="N407" s="23"/>
      <c r="O407" s="89"/>
      <c r="P407" s="89"/>
      <c r="Q407" s="179"/>
      <c r="R407" s="38" t="s">
        <v>31</v>
      </c>
      <c r="S407" s="39">
        <f>SUM(S404:S406)</f>
        <v>0</v>
      </c>
      <c r="T407" s="39">
        <f>SUM(T404:T406)</f>
        <v>0</v>
      </c>
      <c r="U407" s="39">
        <f>SUM(U404:U406)</f>
        <v>0</v>
      </c>
      <c r="V407" s="39">
        <f>SUM(V404:V406)</f>
        <v>0</v>
      </c>
      <c r="W407" s="39">
        <f t="shared" ref="W407" si="677">SUM(W404:W406)</f>
        <v>0</v>
      </c>
      <c r="X407" s="39">
        <f t="shared" ref="X407" si="678">SUM(X404:X406)</f>
        <v>0</v>
      </c>
      <c r="Y407" s="39">
        <f t="shared" ref="Y407" si="679">SUM(Y404:Y406)</f>
        <v>0</v>
      </c>
      <c r="Z407" s="39">
        <f t="shared" ref="Z407" si="680">SUM(Z404:Z406)</f>
        <v>0</v>
      </c>
      <c r="AA407" s="39">
        <f t="shared" ref="AA407" si="681">SUM(AA404:AA406)</f>
        <v>0</v>
      </c>
      <c r="AB407" s="39">
        <f t="shared" ref="AB407" si="682">SUM(AB404:AB406)</f>
        <v>0</v>
      </c>
    </row>
    <row r="408" spans="1:28" x14ac:dyDescent="0.35">
      <c r="A408" s="176" t="s">
        <v>73</v>
      </c>
      <c r="B408" s="24" t="s">
        <v>1</v>
      </c>
      <c r="C408" s="24" t="s">
        <v>2</v>
      </c>
      <c r="D408" s="24" t="s">
        <v>3</v>
      </c>
      <c r="E408" s="24" t="s">
        <v>39</v>
      </c>
      <c r="F408" s="24" t="s">
        <v>45</v>
      </c>
      <c r="G408" s="24" t="s">
        <v>185</v>
      </c>
      <c r="H408" s="24" t="s">
        <v>186</v>
      </c>
      <c r="I408" s="24" t="s">
        <v>187</v>
      </c>
      <c r="J408" s="24" t="s">
        <v>188</v>
      </c>
      <c r="K408" s="24" t="s">
        <v>189</v>
      </c>
      <c r="Q408" s="164"/>
      <c r="S408" s="116"/>
      <c r="Y408" s="23"/>
    </row>
    <row r="409" spans="1:28" x14ac:dyDescent="0.35">
      <c r="A409" s="168" t="s">
        <v>69</v>
      </c>
      <c r="B409" s="313">
        <f>Minimum_Undergraduate_rate</f>
        <v>14.2</v>
      </c>
      <c r="C409" s="313">
        <f>+B409</f>
        <v>14.2</v>
      </c>
      <c r="D409" s="313">
        <f t="shared" ref="D409" si="683">+C409</f>
        <v>14.2</v>
      </c>
      <c r="E409" s="313">
        <f t="shared" ref="E409" si="684">+D409</f>
        <v>14.2</v>
      </c>
      <c r="F409" s="313">
        <f t="shared" ref="F409" si="685">+E409</f>
        <v>14.2</v>
      </c>
      <c r="G409" s="313">
        <f t="shared" ref="G409" si="686">+F409</f>
        <v>14.2</v>
      </c>
      <c r="H409" s="313">
        <f t="shared" ref="H409" si="687">+G409</f>
        <v>14.2</v>
      </c>
      <c r="I409" s="313">
        <f t="shared" ref="I409" si="688">+H409</f>
        <v>14.2</v>
      </c>
      <c r="J409" s="313">
        <f t="shared" ref="J409" si="689">+I409</f>
        <v>14.2</v>
      </c>
      <c r="K409" s="313">
        <f t="shared" ref="K409" si="690">+J409</f>
        <v>14.2</v>
      </c>
      <c r="Q409" s="164"/>
      <c r="Y409" s="23"/>
    </row>
    <row r="410" spans="1:28" x14ac:dyDescent="0.35">
      <c r="A410" s="168" t="s">
        <v>60</v>
      </c>
      <c r="B410" s="317">
        <v>0</v>
      </c>
      <c r="C410" s="317">
        <v>0</v>
      </c>
      <c r="D410" s="317">
        <v>0</v>
      </c>
      <c r="E410" s="317">
        <v>0</v>
      </c>
      <c r="F410" s="317">
        <v>0</v>
      </c>
      <c r="G410" s="317">
        <v>0</v>
      </c>
      <c r="H410" s="317">
        <v>0</v>
      </c>
      <c r="I410" s="317">
        <v>0</v>
      </c>
      <c r="J410" s="317">
        <v>0</v>
      </c>
      <c r="K410" s="317">
        <v>0</v>
      </c>
      <c r="Q410" s="164"/>
      <c r="R410" s="117"/>
      <c r="S410" s="53" t="str">
        <f>CONCATENATE("FY",$AD$3)</f>
        <v>FY2024</v>
      </c>
      <c r="T410" s="53" t="str">
        <f>CONCATENATE("FY",$AD$3+1)</f>
        <v>FY2025</v>
      </c>
      <c r="U410" s="53" t="str">
        <f>CONCATENATE("FY",$AD$3+2)</f>
        <v>FY2026</v>
      </c>
      <c r="V410" s="53" t="str">
        <f>CONCATENATE("FY",$AD$3+3)</f>
        <v>FY2027</v>
      </c>
      <c r="W410" s="53" t="str">
        <f>CONCATENATE("FY",$AD$3+4)</f>
        <v>FY2028</v>
      </c>
      <c r="X410" s="53" t="str">
        <f>CONCATENATE("FY",$AD$3+5)</f>
        <v>FY2029</v>
      </c>
      <c r="Y410" s="53" t="str">
        <f>CONCATENATE("FY",$AD$3+6)</f>
        <v>FY2030</v>
      </c>
      <c r="Z410" s="53" t="str">
        <f>CONCATENATE("FY",$AD$3+7)</f>
        <v>FY2031</v>
      </c>
      <c r="AA410" s="53" t="str">
        <f>CONCATENATE("FY",$AD$3+8)</f>
        <v>FY2032</v>
      </c>
      <c r="AB410" s="53" t="str">
        <f>CONCATENATE("FY",$AD$3+9)</f>
        <v>FY2033</v>
      </c>
    </row>
    <row r="411" spans="1:28" x14ac:dyDescent="0.35">
      <c r="A411" s="168" t="s">
        <v>61</v>
      </c>
      <c r="B411" s="317">
        <v>0</v>
      </c>
      <c r="C411" s="317">
        <v>0</v>
      </c>
      <c r="D411" s="317">
        <v>0</v>
      </c>
      <c r="E411" s="317">
        <v>0</v>
      </c>
      <c r="F411" s="317">
        <v>0</v>
      </c>
      <c r="G411" s="317">
        <v>0</v>
      </c>
      <c r="H411" s="317">
        <v>0</v>
      </c>
      <c r="I411" s="317">
        <v>0</v>
      </c>
      <c r="J411" s="317">
        <v>0</v>
      </c>
      <c r="K411" s="317">
        <v>0</v>
      </c>
      <c r="Q411" s="164"/>
      <c r="R411" s="118"/>
      <c r="S411" s="53" t="str">
        <f>IF(OR($AD$2&gt;=7,$AD$2&lt;=2),CONCATENATE("FY",$AD$3),IF(AND($AD$2&gt;=3,$AD$2&lt;=6),CONCATENATE("FY",$AD$3+1),"N/A"))</f>
        <v>FY2024</v>
      </c>
      <c r="T411" s="53" t="str">
        <f>IF(OR($AD$2&gt;=7,$AD$2&lt;=2),CONCATENATE("FY",$AD$3+1),IF(AND($AD$2&gt;=3,$AD$2&lt;=6),CONCATENATE("FY",$AD$3+2),"N/A"))</f>
        <v>FY2025</v>
      </c>
      <c r="U411" s="53" t="str">
        <f>IF(OR($AD$2&gt;=7,$AD$2&lt;=2),CONCATENATE("FY",$AD$3+2),IF(AND($AD$2&gt;=3,$AD$2&lt;=6),CONCATENATE("FY",$AD$3+3),"N/A"))</f>
        <v>FY2026</v>
      </c>
      <c r="V411" s="53" t="str">
        <f>IF(OR($AD$2&gt;=7,$AD$2&lt;=2),CONCATENATE("FY",$AD$3+3),IF(AND($AD$2&gt;=3,$AD$2&lt;=6),CONCATENATE("FY",$AD$3+4),"N/A"))</f>
        <v>FY2027</v>
      </c>
      <c r="W411" s="53" t="str">
        <f>IF(OR($AD$2&gt;=7,$AD$2&lt;=2),CONCATENATE("FY",$AD$3+4),IF(AND($AD$2&gt;=3,$AD$2&lt;=6),CONCATENATE("FY",$AD$3+5),"N/A"))</f>
        <v>FY2028</v>
      </c>
      <c r="X411" s="53" t="str">
        <f>IF(OR($AD$2&gt;=7,$AD$2&lt;=2),CONCATENATE("FY",$AD$3+5),IF(AND($AD$2&gt;=3,$AD$2&lt;=6),CONCATENATE("FY",$AD$3+6),"N/A"))</f>
        <v>FY2029</v>
      </c>
      <c r="Y411" s="53" t="str">
        <f>IF(OR($AD$2&gt;=7,$AD$2&lt;=2),CONCATENATE("FY",$AD$3+6),IF(AND($AD$2&gt;=3,$AD$2&lt;=6),CONCATENATE("FY",$AD$3+7),"N/A"))</f>
        <v>FY2030</v>
      </c>
      <c r="Z411" s="53" t="str">
        <f>IF(OR($AD$2&gt;=7,$AD$2&lt;=2),CONCATENATE("FY",$AD$3+7),IF(AND($AD$2&gt;=3,$AD$2&lt;=6),CONCATENATE("FY",$AD$3+8),"N/A"))</f>
        <v>FY2031</v>
      </c>
      <c r="AA411" s="53" t="str">
        <f>IF(OR($AD$2&gt;=7,$AD$2&lt;=2),CONCATENATE("FY",$AD$3+8),IF(AND($AD$2&gt;=3,$AD$2&lt;=6),CONCATENATE("FY",$AD$3+9),"N/A"))</f>
        <v>FY2032</v>
      </c>
      <c r="AB411" s="53" t="str">
        <f>IF(OR($AD$2&gt;=7,$AD$2&lt;=2),CONCATENATE("FY",$AD$3+9),IF(AND($AD$2&gt;=3,$AD$2&lt;=6),CONCATENATE("FY",$AD$3+10),"N/A"))</f>
        <v>FY2033</v>
      </c>
    </row>
    <row r="412" spans="1:28" x14ac:dyDescent="0.35">
      <c r="A412" s="168" t="s">
        <v>66</v>
      </c>
      <c r="B412" s="54">
        <f>ROUND(B409*(B410*B411),0)</f>
        <v>0</v>
      </c>
      <c r="C412" s="54">
        <f t="shared" ref="C412:F412" si="691">ROUND(C409*(C410*C411),0)</f>
        <v>0</v>
      </c>
      <c r="D412" s="54">
        <f t="shared" si="691"/>
        <v>0</v>
      </c>
      <c r="E412" s="54">
        <f t="shared" si="691"/>
        <v>0</v>
      </c>
      <c r="F412" s="54">
        <f t="shared" si="691"/>
        <v>0</v>
      </c>
      <c r="G412" s="54">
        <f t="shared" ref="G412:K412" si="692">ROUND(G409*(G410*G411),0)</f>
        <v>0</v>
      </c>
      <c r="H412" s="54">
        <f t="shared" si="692"/>
        <v>0</v>
      </c>
      <c r="I412" s="54">
        <f t="shared" si="692"/>
        <v>0</v>
      </c>
      <c r="J412" s="54">
        <f t="shared" si="692"/>
        <v>0</v>
      </c>
      <c r="K412" s="54">
        <f t="shared" si="692"/>
        <v>0</v>
      </c>
      <c r="Q412" s="164"/>
      <c r="R412" s="53"/>
      <c r="S412" s="53" t="str">
        <f>IF(AND($AD$2&gt;=1,$AD$2&lt;=6),CONCATENATE("FY",$AD$3+1),IF(AND($AD$2&gt;=7,$AD$2&lt;=9),CONCATENATE("FY",$AD$3),IF(AND($AD$2&gt;=10,$AD$2&lt;=126),CONCATENATE("FY",$AD$3+1),"N/A")))</f>
        <v>FY2024</v>
      </c>
      <c r="T412" s="53" t="str">
        <f>IF(AND($AD$2&gt;=1,$AD$2&lt;=6),CONCATENATE("FY",$AD$3+2),IF(AND($AD$2&gt;=7,$AD$2&lt;=9),CONCATENATE("FY",$AD$3+1),IF(AND($AD$2&gt;=10,$AD$2&lt;=126),CONCATENATE("FY",$AD$3+2),"N/A")))</f>
        <v>FY2025</v>
      </c>
      <c r="U412" s="53" t="str">
        <f>IF(AND($AD$2&gt;=1,$AD$2&lt;=6),CONCATENATE("FY",$AD$3+3),IF(AND($AD$2&gt;=7,$AD$2&lt;=9),CONCATENATE("FY",$AD$3+2),IF(AND($AD$2&gt;=10,$AD$2&lt;=126),CONCATENATE("FY",$AD$3+3),"N/A")))</f>
        <v>FY2026</v>
      </c>
      <c r="V412" s="53" t="str">
        <f>IF(AND($AD$2&gt;=1,$AD$2&lt;=6),CONCATENATE("FY",$AD$3+4),IF(AND($AD$2&gt;=7,$AD$2&lt;=9),CONCATENATE("FY",$AD$3+3),IF(AND($AD$2&gt;=10,$AD$2&lt;=126),CONCATENATE("FY",$AD$3+4),"N/A")))</f>
        <v>FY2027</v>
      </c>
      <c r="W412" s="53" t="str">
        <f>IF(AND($AD$2&gt;=1,$AD$2&lt;=6),CONCATENATE("FY",$AD$3+5),IF(AND($AD$2&gt;=7,$AD$2&lt;=9),CONCATENATE("FY",$AD$3+4),IF(AND($AD$2&gt;=10,$AD$2&lt;=126),CONCATENATE("FY",$AD$3+5),"N/A")))</f>
        <v>FY2028</v>
      </c>
      <c r="X412" s="53" t="str">
        <f>IF(AND($AD$2&gt;=1,$AD$2&lt;=6),CONCATENATE("FY",$AD$3+6),IF(AND($AD$2&gt;=7,$AD$2&lt;=9),CONCATENATE("FY",$AD$3+5),IF(AND($AD$2&gt;=10,$AD$2&lt;=126),CONCATENATE("FY",$AD$3+6),"N/A")))</f>
        <v>FY2029</v>
      </c>
      <c r="Y412" s="53" t="str">
        <f>IF(AND($AD$2&gt;=1,$AD$2&lt;=6),CONCATENATE("FY",$AD$3+6),IF(AND($AD$2&gt;=7,$AD$2&lt;=9),CONCATENATE("FY",$AD$3+6),IF(AND($AD$2&gt;=10,$AD$2&lt;=126),CONCATENATE("FY",$AD$3+7),"N/A")))</f>
        <v>FY2030</v>
      </c>
      <c r="Z412" s="53" t="str">
        <f>IF(AND($AD$2&gt;=1,$AD$2&lt;=6),CONCATENATE("FY",$AD$3+6),IF(AND($AD$2&gt;=7,$AD$2&lt;=9),CONCATENATE("FY",$AD$3+7),IF(AND($AD$2&gt;=10,$AD$2&lt;=126),CONCATENATE("FY",$AD$3+8),"N/A")))</f>
        <v>FY2031</v>
      </c>
      <c r="AA412" s="53" t="str">
        <f>IF(AND($AD$2&gt;=1,$AD$2&lt;=6),CONCATENATE("FY",$AD$3+6),IF(AND($AD$2&gt;=7,$AD$2&lt;=9),CONCATENATE("FY",$AD$3+8),IF(AND($AD$2&gt;=10,$AD$2&lt;=126),CONCATENATE("FY",$AD$3+9),"N/A")))</f>
        <v>FY2032</v>
      </c>
      <c r="AB412" s="53" t="str">
        <f>IF(AND($AD$2&gt;=1,$AD$2&lt;=6),CONCATENATE("FY",$AD$3+6),IF(AND($AD$2&gt;=7,$AD$2&lt;=9),CONCATENATE("FY",$AD$3+9),IF(AND($AD$2&gt;=10,$AD$2&lt;=126),CONCATENATE("FY",$AD$3+10),"N/A")))</f>
        <v>FY2033</v>
      </c>
    </row>
    <row r="413" spans="1:28" ht="15" thickBot="1" x14ac:dyDescent="0.4">
      <c r="A413" s="168" t="s">
        <v>58</v>
      </c>
      <c r="B413" s="317">
        <v>0</v>
      </c>
      <c r="C413" s="317">
        <v>0</v>
      </c>
      <c r="D413" s="317">
        <v>0</v>
      </c>
      <c r="E413" s="317">
        <v>0</v>
      </c>
      <c r="F413" s="317">
        <v>0</v>
      </c>
      <c r="G413" s="317">
        <v>0</v>
      </c>
      <c r="H413" s="317">
        <v>0</v>
      </c>
      <c r="I413" s="317">
        <v>0</v>
      </c>
      <c r="J413" s="317">
        <v>0</v>
      </c>
      <c r="K413" s="317">
        <v>0</v>
      </c>
      <c r="Q413" s="164"/>
      <c r="R413" s="427" t="s">
        <v>106</v>
      </c>
      <c r="S413" s="50" t="s">
        <v>1</v>
      </c>
      <c r="T413" s="51" t="s">
        <v>2</v>
      </c>
      <c r="U413" s="51" t="s">
        <v>3</v>
      </c>
      <c r="V413" s="51" t="s">
        <v>39</v>
      </c>
      <c r="W413" s="51" t="s">
        <v>45</v>
      </c>
      <c r="X413" s="51" t="s">
        <v>185</v>
      </c>
      <c r="Y413" s="51" t="s">
        <v>186</v>
      </c>
      <c r="Z413" s="51" t="s">
        <v>187</v>
      </c>
      <c r="AA413" s="51" t="s">
        <v>188</v>
      </c>
      <c r="AB413" s="51" t="s">
        <v>189</v>
      </c>
    </row>
    <row r="414" spans="1:28" x14ac:dyDescent="0.35">
      <c r="A414" s="168" t="s">
        <v>59</v>
      </c>
      <c r="B414" s="317">
        <v>0</v>
      </c>
      <c r="C414" s="317">
        <v>0</v>
      </c>
      <c r="D414" s="317">
        <v>0</v>
      </c>
      <c r="E414" s="317">
        <v>0</v>
      </c>
      <c r="F414" s="317">
        <v>0</v>
      </c>
      <c r="G414" s="317">
        <v>0</v>
      </c>
      <c r="H414" s="317">
        <v>0</v>
      </c>
      <c r="I414" s="317">
        <v>0</v>
      </c>
      <c r="J414" s="317">
        <v>0</v>
      </c>
      <c r="K414" s="317">
        <v>0</v>
      </c>
      <c r="Q414" s="164"/>
      <c r="R414" s="119" t="str">
        <f t="shared" ref="R414:R422" si="693">+R90</f>
        <v>Stipend (Fall)</v>
      </c>
      <c r="S414" s="120">
        <f t="shared" ref="S414:AB414" si="694">IF(RIGHT($R414,8)="(Summer)",ROUND(S398*HLOOKUP(S410,CoPI_4_GRARateTbl,3,FALSE),0))+IF(RIGHT($R414,8)&lt;&gt;"(Summer)",ROUND(S398*HLOOKUP(S410,CoPI_4_GRARateTbl,2,FALSE)/2,0))</f>
        <v>0</v>
      </c>
      <c r="T414" s="120">
        <f t="shared" si="694"/>
        <v>0</v>
      </c>
      <c r="U414" s="120">
        <f t="shared" si="694"/>
        <v>0</v>
      </c>
      <c r="V414" s="120">
        <f t="shared" si="694"/>
        <v>0</v>
      </c>
      <c r="W414" s="120">
        <f t="shared" si="694"/>
        <v>0</v>
      </c>
      <c r="X414" s="120">
        <f t="shared" si="694"/>
        <v>0</v>
      </c>
      <c r="Y414" s="120">
        <f t="shared" si="694"/>
        <v>0</v>
      </c>
      <c r="Z414" s="120">
        <f t="shared" si="694"/>
        <v>0</v>
      </c>
      <c r="AA414" s="120">
        <f t="shared" si="694"/>
        <v>0</v>
      </c>
      <c r="AB414" s="120">
        <f t="shared" si="694"/>
        <v>0</v>
      </c>
    </row>
    <row r="415" spans="1:28" x14ac:dyDescent="0.35">
      <c r="A415" s="168" t="s">
        <v>67</v>
      </c>
      <c r="B415" s="54">
        <f>ROUND(B409*(B413*B414),0)</f>
        <v>0</v>
      </c>
      <c r="C415" s="54">
        <f>ROUND(C409*(C413*C414),0)</f>
        <v>0</v>
      </c>
      <c r="D415" s="54">
        <f>ROUND(D409*(D413*D414),0)</f>
        <v>0</v>
      </c>
      <c r="E415" s="54">
        <f>ROUND(E409*(E413*E414),0)</f>
        <v>0</v>
      </c>
      <c r="F415" s="54">
        <f>ROUND(F409*(F413*F414),0)</f>
        <v>0</v>
      </c>
      <c r="G415" s="54">
        <f t="shared" ref="G415:K415" si="695">ROUND(G409*(G413*G414),0)</f>
        <v>0</v>
      </c>
      <c r="H415" s="54">
        <f t="shared" si="695"/>
        <v>0</v>
      </c>
      <c r="I415" s="54">
        <f t="shared" si="695"/>
        <v>0</v>
      </c>
      <c r="J415" s="54">
        <f t="shared" si="695"/>
        <v>0</v>
      </c>
      <c r="K415" s="54">
        <f t="shared" si="695"/>
        <v>0</v>
      </c>
      <c r="Q415" s="164"/>
      <c r="R415" s="121" t="str">
        <f t="shared" si="693"/>
        <v>Stipend (Spring)</v>
      </c>
      <c r="S415" s="120">
        <f t="shared" ref="S415:AB415" si="696">IF(RIGHT($R415,8)="(Summer)",ROUND(S399*HLOOKUP(S411,CoPI_4_GRARateTbl,3,FALSE),0))+IF(RIGHT($R415,8)&lt;&gt;"(Summer)",ROUND(S399*HLOOKUP(S411,CoPI_4_GRARateTbl,2,FALSE)/2,0))</f>
        <v>0</v>
      </c>
      <c r="T415" s="120">
        <f t="shared" si="696"/>
        <v>0</v>
      </c>
      <c r="U415" s="120">
        <f t="shared" si="696"/>
        <v>0</v>
      </c>
      <c r="V415" s="120">
        <f t="shared" si="696"/>
        <v>0</v>
      </c>
      <c r="W415" s="120">
        <f t="shared" si="696"/>
        <v>0</v>
      </c>
      <c r="X415" s="120">
        <f t="shared" si="696"/>
        <v>0</v>
      </c>
      <c r="Y415" s="120">
        <f t="shared" si="696"/>
        <v>0</v>
      </c>
      <c r="Z415" s="120">
        <f t="shared" si="696"/>
        <v>0</v>
      </c>
      <c r="AA415" s="120">
        <f t="shared" si="696"/>
        <v>0</v>
      </c>
      <c r="AB415" s="120">
        <f t="shared" si="696"/>
        <v>0</v>
      </c>
    </row>
    <row r="416" spans="1:28" x14ac:dyDescent="0.35">
      <c r="A416" s="168" t="s">
        <v>21</v>
      </c>
      <c r="B416" s="110">
        <f>+B412+B415</f>
        <v>0</v>
      </c>
      <c r="C416" s="110">
        <f>+C412+C415</f>
        <v>0</v>
      </c>
      <c r="D416" s="110">
        <f>+D412+D415</f>
        <v>0</v>
      </c>
      <c r="E416" s="110">
        <f>+E412+E415</f>
        <v>0</v>
      </c>
      <c r="F416" s="110">
        <f>+F412+F415</f>
        <v>0</v>
      </c>
      <c r="G416" s="110">
        <f t="shared" ref="G416:K416" si="697">+G412+G415</f>
        <v>0</v>
      </c>
      <c r="H416" s="110">
        <f t="shared" si="697"/>
        <v>0</v>
      </c>
      <c r="I416" s="110">
        <f t="shared" si="697"/>
        <v>0</v>
      </c>
      <c r="J416" s="110">
        <f t="shared" si="697"/>
        <v>0</v>
      </c>
      <c r="K416" s="110">
        <f t="shared" si="697"/>
        <v>0</v>
      </c>
      <c r="Q416" s="164"/>
      <c r="R416" s="121" t="str">
        <f t="shared" si="693"/>
        <v>Stipend (Summer)</v>
      </c>
      <c r="S416" s="120">
        <f t="shared" ref="S416:AB416" si="698">IF(RIGHT($R416,8)="(Summer)",ROUND(S400*HLOOKUP(S412,CoPI_4_GRARateTbl,3,FALSE),0))+IF(RIGHT($R416,8)&lt;&gt;"(Summer)",ROUND(S400*HLOOKUP(S412,CoPI_4_GRARateTbl,2,FALSE)/2,0))</f>
        <v>0</v>
      </c>
      <c r="T416" s="120">
        <f t="shared" si="698"/>
        <v>0</v>
      </c>
      <c r="U416" s="120">
        <f t="shared" si="698"/>
        <v>0</v>
      </c>
      <c r="V416" s="120">
        <f t="shared" si="698"/>
        <v>0</v>
      </c>
      <c r="W416" s="120">
        <f t="shared" si="698"/>
        <v>0</v>
      </c>
      <c r="X416" s="120">
        <f t="shared" si="698"/>
        <v>0</v>
      </c>
      <c r="Y416" s="120">
        <f t="shared" si="698"/>
        <v>0</v>
      </c>
      <c r="Z416" s="120">
        <f t="shared" si="698"/>
        <v>0</v>
      </c>
      <c r="AA416" s="120">
        <f t="shared" si="698"/>
        <v>0</v>
      </c>
      <c r="AB416" s="120">
        <f t="shared" si="698"/>
        <v>0</v>
      </c>
    </row>
    <row r="417" spans="1:28" x14ac:dyDescent="0.35">
      <c r="A417" s="164"/>
      <c r="I417" s="23"/>
      <c r="J417" s="23"/>
      <c r="K417" s="23"/>
      <c r="L417" s="23"/>
      <c r="M417" s="23"/>
      <c r="N417" s="23"/>
      <c r="Q417" s="164"/>
      <c r="R417" s="121" t="str">
        <f t="shared" si="693"/>
        <v>Tuition (Fall)</v>
      </c>
      <c r="S417" s="120">
        <f t="shared" ref="S417:AB417" si="699">IF(RIGHT($R417,8)="(Summer)",0,ROUND(S398*HLOOKUP(S410,CoPI_4_GRARateTbl,5,FALSE)/2,0))</f>
        <v>0</v>
      </c>
      <c r="T417" s="120">
        <f t="shared" si="699"/>
        <v>0</v>
      </c>
      <c r="U417" s="120">
        <f t="shared" si="699"/>
        <v>0</v>
      </c>
      <c r="V417" s="120">
        <f t="shared" si="699"/>
        <v>0</v>
      </c>
      <c r="W417" s="120">
        <f t="shared" si="699"/>
        <v>0</v>
      </c>
      <c r="X417" s="120">
        <f t="shared" si="699"/>
        <v>0</v>
      </c>
      <c r="Y417" s="120">
        <f t="shared" si="699"/>
        <v>0</v>
      </c>
      <c r="Z417" s="120">
        <f t="shared" si="699"/>
        <v>0</v>
      </c>
      <c r="AA417" s="120">
        <f t="shared" si="699"/>
        <v>0</v>
      </c>
      <c r="AB417" s="120">
        <f t="shared" si="699"/>
        <v>0</v>
      </c>
    </row>
    <row r="418" spans="1:28" x14ac:dyDescent="0.35">
      <c r="A418" s="178" t="s">
        <v>88</v>
      </c>
      <c r="B418" s="104" t="str">
        <f t="shared" ref="B418:L418" si="700">IF(AND(B419=$AE$5,$O420=9),$AE$3,IF(AND(B419=$AF$5,$O420=9),$AF$3,IF(AND(B419=$AG$5,$O420=9),$AG$3,IF(AND(B419=$AH$5,$O420=9),$AH$3,IF(AND(B419=$AI$5,$O420=9),$AI$3,IF(AND(B419=$AJ$5,$O420=9),$AJ$3,IF(AND(B419=$AK$5,$O420=9),$AK$3,IF(AND(B419=$AL$5,$O420=9),$AL$3,IF(AND(B419=$AM$5,$O420=9),$AM$3,IF(AND(B419=$AN$5,$O420=9),$AN$3,IF(AND(B419=$AO$5,$O420=9),$AO$3,IF(AND(B419=$AP$5,$O420=9),$AJ$3,IF(AND(B419=$AE$4,$O420=12),$AE$3,IF(AND(B419=$AF$4,$O420=12),$AF$3,IF(AND(B419=$AG$4,$O420=12),$AG$3,IF(AND(B419=$AH$4,$O420=12),$AH$3,IF(AND(B419=$AI$4,$O420=12),$AI$3,IF(AND(B419=$AJ$4,$O420=12),$AJ$3,IF(AND(B419=$AK$4,$O420=12),$AK$3,IF(AND(B419=$AL$4,$O420=12),$AL$3,IF(AND(B419=$AM$4,$O420=12),$AM$3,IF(AND(B419=$AN$4,$O420=12),$AN$3,IF(AND(B419=$AO$4,$O420=12),$AO$3,IF(AND(B419=$AP$4,$O420=12),$AJ$3," "))))))))))))))))))))))))</f>
        <v xml:space="preserve"> </v>
      </c>
      <c r="C418" s="104" t="str">
        <f t="shared" si="700"/>
        <v>Year 1</v>
      </c>
      <c r="D418" s="104" t="str">
        <f t="shared" si="700"/>
        <v>Year 2</v>
      </c>
      <c r="E418" s="104" t="str">
        <f t="shared" si="700"/>
        <v>Year 3</v>
      </c>
      <c r="F418" s="104" t="str">
        <f t="shared" si="700"/>
        <v>Year 4</v>
      </c>
      <c r="G418" s="104" t="str">
        <f t="shared" si="700"/>
        <v>Year 5</v>
      </c>
      <c r="H418" s="104" t="str">
        <f t="shared" si="700"/>
        <v>Year 6</v>
      </c>
      <c r="I418" s="104" t="str">
        <f t="shared" si="700"/>
        <v>Year 7</v>
      </c>
      <c r="J418" s="104" t="str">
        <f t="shared" si="700"/>
        <v>Year 8</v>
      </c>
      <c r="K418" s="104" t="str">
        <f t="shared" si="700"/>
        <v>Year 9</v>
      </c>
      <c r="L418" s="104" t="str">
        <f t="shared" si="700"/>
        <v>Year 10</v>
      </c>
      <c r="M418" s="104" t="str">
        <f t="shared" ref="M418" si="701">IF(AND(M419=$AE$5,$O420=9),$AE$3,IF(AND(M419=$AF$5,$O420=9),$AF$3,IF(AND(M419=$AG$5,$O420=9),$AG$3,IF(AND(M419=$AH$5,$O420=9),$AH$3,IF(AND(M419=$AI$5,$O420=9),$AI$3,IF(AND(M419=$AJ$5,$O420=9),$AJ$3,IF(AND(M419=$AK$5,$O420=9),$AK$3,IF(AND(M419=$AL$5,$O420=9),$AL$3,IF(AND(M419=$AM$5,$O420=9),$AM$3,IF(AND(M419=$AN$5,$O420=9),$AN$3,IF(AND(M419=$AO$5,$O420=9),$AO$3,IF(AND(M419=$AP$5,$O420=9),$AJ$3,IF(AND(M419=$AE$4,$O420=12),$AE$3,IF(AND(M419=$AF$4,$O420=12),$AF$3,IF(AND(M419=$AG$4,$O420=12),$AG$3,IF(AND(M419=$AH$4,$O420=12),$AH$3,IF(AND(M419=$AI$4,$O420=12),$AI$3,IF(AND(M419=$AJ$4,$O420=12),$AJ$3,IF(AND(M419=$AK$4,$O420=12),$AK$3,IF(AND(M419=$AL$4,$O420=12),$AL$3,IF(AND(M419=$AM$4,$O420=12),$AM$3,IF(AND(M419=$AN$4,$O420=12),$AN$3,IF(AND(M419=$AO$4,$O420=12),$AO$3,IF(AND(M419=$AP$4,$O420=12),$AJ$3," "))))))))))))))))))))))))</f>
        <v>Year 11</v>
      </c>
      <c r="N418" s="104"/>
      <c r="Q418" s="164"/>
      <c r="R418" s="121" t="str">
        <f t="shared" si="693"/>
        <v>Tuition (Spring)</v>
      </c>
      <c r="S418" s="120">
        <f t="shared" ref="S418:AB418" si="702">IF(RIGHT($R418,8)="(Summer)",0,ROUND(S399*HLOOKUP(S411,CoPI_4_GRARateTbl,5,FALSE)/2,0))</f>
        <v>0</v>
      </c>
      <c r="T418" s="120">
        <f t="shared" si="702"/>
        <v>0</v>
      </c>
      <c r="U418" s="120">
        <f t="shared" si="702"/>
        <v>0</v>
      </c>
      <c r="V418" s="120">
        <f t="shared" si="702"/>
        <v>0</v>
      </c>
      <c r="W418" s="120">
        <f t="shared" si="702"/>
        <v>0</v>
      </c>
      <c r="X418" s="120">
        <f t="shared" si="702"/>
        <v>0</v>
      </c>
      <c r="Y418" s="120">
        <f t="shared" si="702"/>
        <v>0</v>
      </c>
      <c r="Z418" s="120">
        <f t="shared" si="702"/>
        <v>0</v>
      </c>
      <c r="AA418" s="120">
        <f t="shared" si="702"/>
        <v>0</v>
      </c>
      <c r="AB418" s="120">
        <f t="shared" si="702"/>
        <v>0</v>
      </c>
    </row>
    <row r="419" spans="1:28" x14ac:dyDescent="0.35">
      <c r="A419" s="336" t="s">
        <v>29</v>
      </c>
      <c r="B419" s="55" t="str">
        <f t="shared" ref="B419:I419" si="703">+N$2</f>
        <v>FY2023</v>
      </c>
      <c r="C419" s="55" t="str">
        <f t="shared" si="703"/>
        <v>FY2024</v>
      </c>
      <c r="D419" s="55" t="str">
        <f t="shared" si="703"/>
        <v>FY2025</v>
      </c>
      <c r="E419" s="55" t="str">
        <f t="shared" si="703"/>
        <v>FY2026</v>
      </c>
      <c r="F419" s="55" t="str">
        <f t="shared" si="703"/>
        <v>FY2027</v>
      </c>
      <c r="G419" s="55" t="str">
        <f t="shared" si="703"/>
        <v>FY2028</v>
      </c>
      <c r="H419" s="55" t="str">
        <f t="shared" si="703"/>
        <v>FY2029</v>
      </c>
      <c r="I419" s="55" t="str">
        <f t="shared" si="703"/>
        <v>FY2030</v>
      </c>
      <c r="J419" s="55" t="str">
        <f t="shared" ref="J419" si="704">+V$2</f>
        <v>FY2031</v>
      </c>
      <c r="K419" s="55" t="str">
        <f t="shared" ref="K419:M419" si="705">+W$2</f>
        <v>FY2032</v>
      </c>
      <c r="L419" s="55" t="str">
        <f t="shared" si="705"/>
        <v>FY2033</v>
      </c>
      <c r="M419" s="55" t="str">
        <f t="shared" si="705"/>
        <v>FY2034</v>
      </c>
      <c r="N419" s="55"/>
      <c r="O419" s="32" t="s">
        <v>20</v>
      </c>
      <c r="P419" s="89" t="s">
        <v>64</v>
      </c>
      <c r="Q419" s="179"/>
      <c r="R419" s="121" t="str">
        <f t="shared" si="693"/>
        <v>Tuition (Summer)</v>
      </c>
      <c r="S419" s="120">
        <f t="shared" ref="S419:AB419" si="706">IF(RIGHT($R419,8)="(Summer)",0,ROUND(S400*HLOOKUP(S412,CoPI_4_GRARateTbl,5,FALSE)/2,0))</f>
        <v>0</v>
      </c>
      <c r="T419" s="120">
        <f t="shared" si="706"/>
        <v>0</v>
      </c>
      <c r="U419" s="120">
        <f t="shared" si="706"/>
        <v>0</v>
      </c>
      <c r="V419" s="120">
        <f t="shared" si="706"/>
        <v>0</v>
      </c>
      <c r="W419" s="120">
        <f t="shared" si="706"/>
        <v>0</v>
      </c>
      <c r="X419" s="120">
        <f t="shared" si="706"/>
        <v>0</v>
      </c>
      <c r="Y419" s="120">
        <f t="shared" si="706"/>
        <v>0</v>
      </c>
      <c r="Z419" s="120">
        <f t="shared" si="706"/>
        <v>0</v>
      </c>
      <c r="AA419" s="120">
        <f t="shared" si="706"/>
        <v>0</v>
      </c>
      <c r="AB419" s="120">
        <f t="shared" si="706"/>
        <v>0</v>
      </c>
    </row>
    <row r="420" spans="1:28" x14ac:dyDescent="0.35">
      <c r="A420" s="168" t="str">
        <f>CONCATENATE("Base Salary: ",O420," month term")</f>
        <v>Base Salary: 12 month term</v>
      </c>
      <c r="B420" s="314">
        <v>0</v>
      </c>
      <c r="C420" s="109">
        <f>B420</f>
        <v>0</v>
      </c>
      <c r="D420" s="109">
        <f t="shared" ref="D420:M420" si="707">ROUND(+C420*(1+$P$420),0)</f>
        <v>0</v>
      </c>
      <c r="E420" s="109">
        <f t="shared" si="707"/>
        <v>0</v>
      </c>
      <c r="F420" s="109">
        <f t="shared" si="707"/>
        <v>0</v>
      </c>
      <c r="G420" s="109">
        <f t="shared" si="707"/>
        <v>0</v>
      </c>
      <c r="H420" s="109">
        <f t="shared" si="707"/>
        <v>0</v>
      </c>
      <c r="I420" s="109">
        <f t="shared" si="707"/>
        <v>0</v>
      </c>
      <c r="J420" s="109">
        <f t="shared" si="707"/>
        <v>0</v>
      </c>
      <c r="K420" s="109">
        <f t="shared" si="707"/>
        <v>0</v>
      </c>
      <c r="L420" s="109">
        <f t="shared" si="707"/>
        <v>0</v>
      </c>
      <c r="M420" s="109">
        <f t="shared" si="707"/>
        <v>0</v>
      </c>
      <c r="N420" s="109"/>
      <c r="O420" s="311">
        <v>12</v>
      </c>
      <c r="P420" s="312">
        <v>0.03</v>
      </c>
      <c r="Q420" s="181"/>
      <c r="R420" s="121" t="str">
        <f t="shared" si="693"/>
        <v>Health Insurance (Fall)</v>
      </c>
      <c r="S420" s="120">
        <f t="shared" ref="S420:AB420" si="708">IF(RIGHT($R420,8)="(Summer)",0,ROUND(S398*HLOOKUP(S410,CoPI_4_GRARateTbl,6,FALSE)/2,0))</f>
        <v>0</v>
      </c>
      <c r="T420" s="120">
        <f t="shared" si="708"/>
        <v>0</v>
      </c>
      <c r="U420" s="120">
        <f t="shared" si="708"/>
        <v>0</v>
      </c>
      <c r="V420" s="120">
        <f t="shared" si="708"/>
        <v>0</v>
      </c>
      <c r="W420" s="120">
        <f t="shared" si="708"/>
        <v>0</v>
      </c>
      <c r="X420" s="120">
        <f t="shared" si="708"/>
        <v>0</v>
      </c>
      <c r="Y420" s="120">
        <f t="shared" si="708"/>
        <v>0</v>
      </c>
      <c r="Z420" s="120">
        <f t="shared" si="708"/>
        <v>0</v>
      </c>
      <c r="AA420" s="120">
        <f t="shared" si="708"/>
        <v>0</v>
      </c>
      <c r="AB420" s="120">
        <f t="shared" si="708"/>
        <v>0</v>
      </c>
    </row>
    <row r="421" spans="1:28" x14ac:dyDescent="0.35">
      <c r="A421" s="168" t="s">
        <v>44</v>
      </c>
      <c r="B421" s="313">
        <v>0</v>
      </c>
      <c r="C421" s="313">
        <v>0</v>
      </c>
      <c r="D421" s="313">
        <v>0</v>
      </c>
      <c r="E421" s="313">
        <v>0</v>
      </c>
      <c r="F421" s="313">
        <v>0</v>
      </c>
      <c r="G421" s="313">
        <v>0</v>
      </c>
      <c r="H421" s="313">
        <v>0</v>
      </c>
      <c r="I421" s="313">
        <v>0</v>
      </c>
      <c r="J421" s="313">
        <v>0</v>
      </c>
      <c r="K421" s="313">
        <v>0</v>
      </c>
      <c r="L421" s="313">
        <v>0</v>
      </c>
      <c r="M421" s="313">
        <v>0</v>
      </c>
      <c r="N421" s="402"/>
      <c r="O421" s="25"/>
      <c r="P421" s="25"/>
      <c r="Q421" s="168"/>
      <c r="R421" s="121" t="str">
        <f t="shared" si="693"/>
        <v>Health Insurance (Spring)</v>
      </c>
      <c r="S421" s="120">
        <f t="shared" ref="S421:AB421" si="709">IF(RIGHT($R421,8)="(Summer)",0,ROUND(S399*HLOOKUP(S411,CoPI_4_GRARateTbl,6,FALSE)/2,0))</f>
        <v>0</v>
      </c>
      <c r="T421" s="120">
        <f t="shared" si="709"/>
        <v>0</v>
      </c>
      <c r="U421" s="120">
        <f t="shared" si="709"/>
        <v>0</v>
      </c>
      <c r="V421" s="120">
        <f t="shared" si="709"/>
        <v>0</v>
      </c>
      <c r="W421" s="120">
        <f t="shared" si="709"/>
        <v>0</v>
      </c>
      <c r="X421" s="120">
        <f t="shared" si="709"/>
        <v>0</v>
      </c>
      <c r="Y421" s="120">
        <f t="shared" si="709"/>
        <v>0</v>
      </c>
      <c r="Z421" s="120">
        <f t="shared" si="709"/>
        <v>0</v>
      </c>
      <c r="AA421" s="120">
        <f t="shared" si="709"/>
        <v>0</v>
      </c>
      <c r="AB421" s="120">
        <f t="shared" si="709"/>
        <v>0</v>
      </c>
    </row>
    <row r="422" spans="1:28" x14ac:dyDescent="0.35">
      <c r="A422" s="168" t="str">
        <f>CONCATENATE("FTE for ",O420," Months")</f>
        <v>FTE for 12 Months</v>
      </c>
      <c r="B422" s="395">
        <f t="shared" ref="B422:L422" si="710">+B421/$O420</f>
        <v>0</v>
      </c>
      <c r="C422" s="395">
        <f t="shared" si="710"/>
        <v>0</v>
      </c>
      <c r="D422" s="395">
        <f t="shared" si="710"/>
        <v>0</v>
      </c>
      <c r="E422" s="395">
        <f t="shared" si="710"/>
        <v>0</v>
      </c>
      <c r="F422" s="395">
        <f t="shared" si="710"/>
        <v>0</v>
      </c>
      <c r="G422" s="395">
        <f t="shared" si="710"/>
        <v>0</v>
      </c>
      <c r="H422" s="395">
        <f t="shared" si="710"/>
        <v>0</v>
      </c>
      <c r="I422" s="395">
        <f t="shared" si="710"/>
        <v>0</v>
      </c>
      <c r="J422" s="395">
        <f t="shared" si="710"/>
        <v>0</v>
      </c>
      <c r="K422" s="395">
        <f t="shared" si="710"/>
        <v>0</v>
      </c>
      <c r="L422" s="395">
        <f t="shared" si="710"/>
        <v>0</v>
      </c>
      <c r="M422" s="395">
        <f t="shared" ref="M422" si="711">+M421/$O420</f>
        <v>0</v>
      </c>
      <c r="N422" s="403"/>
      <c r="O422" s="89"/>
      <c r="P422" s="89"/>
      <c r="Q422" s="179"/>
      <c r="R422" s="121" t="str">
        <f t="shared" si="693"/>
        <v>Health Insurance (Summer)</v>
      </c>
      <c r="S422" s="120">
        <f t="shared" ref="S422:AB422" si="712">IF(RIGHT($R422,8)="(Summer)",0,ROUND(S400*HLOOKUP(S412,CoPI_4_GRARateTbl,6,FALSE)/2,0))</f>
        <v>0</v>
      </c>
      <c r="T422" s="120">
        <f t="shared" si="712"/>
        <v>0</v>
      </c>
      <c r="U422" s="120">
        <f t="shared" si="712"/>
        <v>0</v>
      </c>
      <c r="V422" s="120">
        <f t="shared" si="712"/>
        <v>0</v>
      </c>
      <c r="W422" s="120">
        <f t="shared" si="712"/>
        <v>0</v>
      </c>
      <c r="X422" s="120">
        <f t="shared" si="712"/>
        <v>0</v>
      </c>
      <c r="Y422" s="120">
        <f t="shared" si="712"/>
        <v>0</v>
      </c>
      <c r="Z422" s="120">
        <f t="shared" si="712"/>
        <v>0</v>
      </c>
      <c r="AA422" s="120">
        <f t="shared" si="712"/>
        <v>0</v>
      </c>
      <c r="AB422" s="120">
        <f t="shared" si="712"/>
        <v>0</v>
      </c>
    </row>
    <row r="423" spans="1:28" ht="15" thickBot="1" x14ac:dyDescent="0.4">
      <c r="A423" s="168" t="s">
        <v>21</v>
      </c>
      <c r="B423" s="110">
        <f t="shared" ref="B423:K423" si="713">ROUND((B420*B422*$Q$35)+(C420*B422*$Q$36),0)</f>
        <v>0</v>
      </c>
      <c r="C423" s="110">
        <f t="shared" si="713"/>
        <v>0</v>
      </c>
      <c r="D423" s="110">
        <f t="shared" si="713"/>
        <v>0</v>
      </c>
      <c r="E423" s="110">
        <f t="shared" si="713"/>
        <v>0</v>
      </c>
      <c r="F423" s="110">
        <f t="shared" si="713"/>
        <v>0</v>
      </c>
      <c r="G423" s="110">
        <f t="shared" si="713"/>
        <v>0</v>
      </c>
      <c r="H423" s="110">
        <f t="shared" si="713"/>
        <v>0</v>
      </c>
      <c r="I423" s="110">
        <f t="shared" si="713"/>
        <v>0</v>
      </c>
      <c r="J423" s="110">
        <f t="shared" si="713"/>
        <v>0</v>
      </c>
      <c r="K423" s="110">
        <f t="shared" si="713"/>
        <v>0</v>
      </c>
      <c r="L423" s="110">
        <f>ROUND((L420*L422*$Q$35)+(N420*L422*$Q$36),0)</f>
        <v>0</v>
      </c>
      <c r="M423" s="110">
        <f>ROUND((M420*M422*$Q$35)+(O420*M422*$Q$36),0)</f>
        <v>0</v>
      </c>
      <c r="N423" s="404"/>
      <c r="O423" s="89"/>
      <c r="P423" s="89"/>
      <c r="Q423" s="179"/>
      <c r="R423" s="38" t="s">
        <v>31</v>
      </c>
      <c r="S423" s="39">
        <f>SUM(S414:S422)</f>
        <v>0</v>
      </c>
      <c r="T423" s="39">
        <f>SUM(T414:T422)</f>
        <v>0</v>
      </c>
      <c r="U423" s="39">
        <f>SUM(U414:U422)</f>
        <v>0</v>
      </c>
      <c r="V423" s="39">
        <f>SUM(V414:V422)</f>
        <v>0</v>
      </c>
      <c r="W423" s="39">
        <f t="shared" ref="W423" si="714">SUM(W414:W422)</f>
        <v>0</v>
      </c>
      <c r="X423" s="39">
        <f t="shared" ref="X423" si="715">SUM(X414:X422)</f>
        <v>0</v>
      </c>
      <c r="Y423" s="39">
        <f t="shared" ref="Y423" si="716">SUM(Y414:Y422)</f>
        <v>0</v>
      </c>
      <c r="Z423" s="39">
        <f t="shared" ref="Z423" si="717">SUM(Z414:Z422)</f>
        <v>0</v>
      </c>
      <c r="AA423" s="39">
        <f t="shared" ref="AA423" si="718">SUM(AA414:AA422)</f>
        <v>0</v>
      </c>
      <c r="AB423" s="39">
        <f t="shared" ref="AB423" si="719">SUM(AB414:AB422)</f>
        <v>0</v>
      </c>
    </row>
    <row r="424" spans="1:28" x14ac:dyDescent="0.35">
      <c r="P424" s="89"/>
      <c r="Q424" s="179"/>
      <c r="R424" s="228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</row>
    <row r="426" spans="1:28" x14ac:dyDescent="0.35">
      <c r="A426" s="212" t="str">
        <f ca="1">+A19</f>
        <v>Co-PI Budget (5)</v>
      </c>
      <c r="B426" s="213"/>
      <c r="C426" s="213"/>
      <c r="D426" s="213"/>
      <c r="E426" s="213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</row>
    <row r="427" spans="1:28" x14ac:dyDescent="0.35">
      <c r="A427" s="134" t="s">
        <v>50</v>
      </c>
      <c r="B427" s="214" t="str">
        <f>+B19</f>
        <v>Co-PI</v>
      </c>
      <c r="C427" s="213"/>
      <c r="D427" s="213"/>
      <c r="E427" s="213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</row>
    <row r="428" spans="1:28" x14ac:dyDescent="0.35">
      <c r="A428" s="134" t="s">
        <v>53</v>
      </c>
      <c r="B428" s="337" t="s">
        <v>57</v>
      </c>
      <c r="C428" s="213"/>
      <c r="D428" s="213"/>
      <c r="E428" s="213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</row>
    <row r="429" spans="1:28" x14ac:dyDescent="0.35">
      <c r="A429" s="134" t="s">
        <v>53</v>
      </c>
      <c r="B429" s="337" t="s">
        <v>57</v>
      </c>
      <c r="C429" s="213"/>
      <c r="D429" s="213"/>
      <c r="E429" s="213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</row>
    <row r="430" spans="1:28" x14ac:dyDescent="0.35">
      <c r="A430" s="134" t="s">
        <v>113</v>
      </c>
      <c r="B430" s="338" t="s">
        <v>95</v>
      </c>
      <c r="C430" s="213"/>
      <c r="D430" s="226"/>
      <c r="E430" s="213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</row>
    <row r="431" spans="1:28" x14ac:dyDescent="0.35">
      <c r="A431" s="134" t="s">
        <v>134</v>
      </c>
      <c r="B431" s="338" t="str">
        <f>+$B$26</f>
        <v>On</v>
      </c>
      <c r="C431" s="213"/>
      <c r="D431" s="226"/>
      <c r="E431" s="213"/>
      <c r="F431" s="213"/>
      <c r="G431" s="213"/>
      <c r="H431" s="213"/>
      <c r="I431" s="213"/>
      <c r="J431" s="213"/>
      <c r="K431" s="213"/>
      <c r="L431" s="213"/>
      <c r="M431" s="213"/>
      <c r="N431" s="213"/>
      <c r="O431" s="213"/>
    </row>
    <row r="432" spans="1:28" x14ac:dyDescent="0.35">
      <c r="A432" s="213"/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</row>
    <row r="433" spans="1:17" x14ac:dyDescent="0.35">
      <c r="A433" s="134" t="s">
        <v>97</v>
      </c>
      <c r="B433" s="339" t="s">
        <v>95</v>
      </c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</row>
    <row r="434" spans="1:17" x14ac:dyDescent="0.35">
      <c r="A434" s="134" t="s">
        <v>98</v>
      </c>
      <c r="B434" s="339" t="s">
        <v>95</v>
      </c>
      <c r="C434" s="213"/>
      <c r="D434" s="213"/>
      <c r="E434" s="226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</row>
    <row r="435" spans="1:17" x14ac:dyDescent="0.35">
      <c r="A435" s="213"/>
      <c r="B435" s="215"/>
      <c r="C435" s="213"/>
      <c r="D435" s="213"/>
      <c r="E435" s="213"/>
      <c r="F435" s="213"/>
      <c r="G435" s="213"/>
      <c r="H435" s="213"/>
      <c r="I435" s="216"/>
      <c r="J435" s="216"/>
      <c r="K435" s="216"/>
      <c r="L435" s="216"/>
      <c r="M435" s="216"/>
      <c r="N435" s="216"/>
      <c r="O435" s="216"/>
      <c r="Q435" s="102"/>
    </row>
    <row r="436" spans="1:17" x14ac:dyDescent="0.35">
      <c r="A436" s="134" t="s">
        <v>100</v>
      </c>
      <c r="B436" s="217" t="str">
        <f>+$B$31</f>
        <v>FY2024</v>
      </c>
      <c r="C436" s="217" t="str">
        <f>+$C$31</f>
        <v>FY2025</v>
      </c>
      <c r="D436" s="217" t="str">
        <f>+$D$31</f>
        <v>FY2026</v>
      </c>
      <c r="E436" s="217" t="str">
        <f>+$E$31</f>
        <v>FY2027</v>
      </c>
      <c r="F436" s="217" t="str">
        <f>+$F$31</f>
        <v>FY2028</v>
      </c>
      <c r="G436" s="217" t="str">
        <f>+$G$31</f>
        <v>FY2029</v>
      </c>
      <c r="H436" s="217" t="str">
        <f>+$H$31</f>
        <v>FY2030</v>
      </c>
      <c r="I436" s="217" t="str">
        <f>CONCATENATE("FY",$AD$3+7)</f>
        <v>FY2031</v>
      </c>
      <c r="J436" s="217" t="str">
        <f>CONCATENATE("FY",$AD$3+8)</f>
        <v>FY2032</v>
      </c>
      <c r="K436" s="217" t="str">
        <f>CONCATENATE("FY",$AD$3+9)</f>
        <v>FY2033</v>
      </c>
      <c r="L436" s="217" t="str">
        <f>CONCATENATE("FY",$AD$3+10)</f>
        <v>FY2034</v>
      </c>
      <c r="M436" s="217" t="str">
        <f>CONCATENATE("FY",$AD$3+11)</f>
        <v>FY2035</v>
      </c>
      <c r="N436" s="216"/>
      <c r="O436" s="216"/>
      <c r="Q436" s="102"/>
    </row>
    <row r="437" spans="1:17" x14ac:dyDescent="0.35">
      <c r="A437" s="134" t="str">
        <f>IF(AND(B430="Contract College",B$6="Federal"),"   Contract (Federal) - Senior Personnel",IF(AND(B430="Contract College",B$6="Non-federal"),"   Contract (Non-federal) - Senior Personnel","   Endowed - Senior Personnel"))</f>
        <v xml:space="preserve">   Endowed - Senior Personnel</v>
      </c>
      <c r="B437" s="401">
        <f t="shared" ref="B437:M437" si="720">IF(AND($B430="Contract College",$B$6="Federal"),HLOOKUP(B436,FringeAndIDCRates,2,FALSE),IF(AND($B430="Contract College",$B$6="Non-Federal"),HLOOKUP(B436,FringeAndIDCRates,3,FALSE),HLOOKUP(B436,FringeAndIDCRates,4,FALSE)))</f>
        <v>0.37</v>
      </c>
      <c r="C437" s="401">
        <f t="shared" si="720"/>
        <v>0.37</v>
      </c>
      <c r="D437" s="401">
        <f t="shared" si="720"/>
        <v>0.37</v>
      </c>
      <c r="E437" s="401">
        <f t="shared" si="720"/>
        <v>0.37</v>
      </c>
      <c r="F437" s="401">
        <f t="shared" si="720"/>
        <v>0.37</v>
      </c>
      <c r="G437" s="401">
        <f t="shared" si="720"/>
        <v>0.37</v>
      </c>
      <c r="H437" s="401">
        <f t="shared" si="720"/>
        <v>0.37</v>
      </c>
      <c r="I437" s="401">
        <f t="shared" si="720"/>
        <v>0.37</v>
      </c>
      <c r="J437" s="401">
        <f t="shared" si="720"/>
        <v>0.37</v>
      </c>
      <c r="K437" s="401">
        <f t="shared" si="720"/>
        <v>0.37</v>
      </c>
      <c r="L437" s="401">
        <f t="shared" si="720"/>
        <v>0.37</v>
      </c>
      <c r="M437" s="401">
        <f t="shared" si="720"/>
        <v>0.37</v>
      </c>
      <c r="N437" s="216"/>
      <c r="O437" s="216"/>
      <c r="Q437" s="102"/>
    </row>
    <row r="438" spans="1:17" x14ac:dyDescent="0.35">
      <c r="A438" s="134" t="str">
        <f>IF(AND(B$6="Federal",B433="Contract College"),"   Contract (Federal) - Post Doc",IF(AND(B$6="Non-federal",B433="Contract College"),"   Contract (Non-federal) - Post Doc","   Endowed - Post Doc"))</f>
        <v xml:space="preserve">   Endowed - Post Doc</v>
      </c>
      <c r="B438" s="401">
        <f t="shared" ref="B438:M438" si="721">IF($B433="Endowed College",HLOOKUP(B$31,FringeAndIDCRates,4,FALSE),IF($B$6="Federal",HLOOKUP(B$31,FringeAndIDCRates,2,FALSE),IF($B$6="Non-Federal",HLOOKUP(B$31,FringeAndIDCRates,3,FALSE))))</f>
        <v>0.37</v>
      </c>
      <c r="C438" s="401">
        <f t="shared" si="721"/>
        <v>0.37</v>
      </c>
      <c r="D438" s="401">
        <f t="shared" si="721"/>
        <v>0.37</v>
      </c>
      <c r="E438" s="401">
        <f t="shared" si="721"/>
        <v>0.37</v>
      </c>
      <c r="F438" s="401">
        <f t="shared" si="721"/>
        <v>0.37</v>
      </c>
      <c r="G438" s="401">
        <f t="shared" si="721"/>
        <v>0.37</v>
      </c>
      <c r="H438" s="401">
        <f t="shared" si="721"/>
        <v>0.37</v>
      </c>
      <c r="I438" s="401">
        <f t="shared" si="721"/>
        <v>0.37</v>
      </c>
      <c r="J438" s="401">
        <f t="shared" si="721"/>
        <v>0.37</v>
      </c>
      <c r="K438" s="401">
        <f t="shared" si="721"/>
        <v>0.37</v>
      </c>
      <c r="L438" s="401">
        <f t="shared" si="721"/>
        <v>0.37</v>
      </c>
      <c r="M438" s="401">
        <f t="shared" si="721"/>
        <v>0.37</v>
      </c>
      <c r="N438" s="216"/>
      <c r="O438" s="216"/>
      <c r="Q438" s="102"/>
    </row>
    <row r="439" spans="1:17" x14ac:dyDescent="0.35">
      <c r="A439" s="134" t="str">
        <f>IF(AND(B$6="Federal",B434="Contract College"),"   Contract (Federal) - Other Employee",IF(AND(B$6="Non-federal",B434="Contract College"),"   Contract (Non-federal) - Other Empolyee","   Endowed - Other Employee"))</f>
        <v xml:space="preserve">   Endowed - Other Employee</v>
      </c>
      <c r="B439" s="401">
        <f t="shared" ref="B439:M439" si="722">IF($B434="Endowed College",HLOOKUP(B$31,FringeAndIDCRates,4,FALSE),IF($B$6="Federal",HLOOKUP(B$31,FringeAndIDCRates,2,FALSE),IF($B$6="Non-Federal",HLOOKUP(B$31,FringeAndIDCRates,3,FALSE))))</f>
        <v>0.37</v>
      </c>
      <c r="C439" s="401">
        <f t="shared" si="722"/>
        <v>0.37</v>
      </c>
      <c r="D439" s="401">
        <f t="shared" si="722"/>
        <v>0.37</v>
      </c>
      <c r="E439" s="401">
        <f t="shared" si="722"/>
        <v>0.37</v>
      </c>
      <c r="F439" s="401">
        <f t="shared" si="722"/>
        <v>0.37</v>
      </c>
      <c r="G439" s="401">
        <f t="shared" si="722"/>
        <v>0.37</v>
      </c>
      <c r="H439" s="401">
        <f t="shared" si="722"/>
        <v>0.37</v>
      </c>
      <c r="I439" s="401">
        <f t="shared" si="722"/>
        <v>0.37</v>
      </c>
      <c r="J439" s="401">
        <f t="shared" si="722"/>
        <v>0.37</v>
      </c>
      <c r="K439" s="401">
        <f t="shared" si="722"/>
        <v>0.37</v>
      </c>
      <c r="L439" s="401">
        <f t="shared" si="722"/>
        <v>0.37</v>
      </c>
      <c r="M439" s="401">
        <f t="shared" si="722"/>
        <v>0.37</v>
      </c>
      <c r="N439" s="216"/>
      <c r="O439" s="216"/>
      <c r="Q439" s="102"/>
    </row>
    <row r="440" spans="1:17" x14ac:dyDescent="0.35">
      <c r="A440" s="134" t="str">
        <f>CONCATENATE("Cornell IDC Rate - ",B430)</f>
        <v>Cornell IDC Rate - Endowed College</v>
      </c>
      <c r="B440" s="401">
        <f t="shared" ref="B440:M440" si="723">IF($B431="Off",(HLOOKUP(B$31,FringeAndIDCRates,8,FALSE)),IF(AND($B$7="Other",$B431="On"),(HLOOKUP(B$31,FringeAndIDCRates,7,FALSE)),IF(AND($B431="On",$B430="Contract College",$B$7="Research"),(HLOOKUP(B$31,FringeAndIDCRates,5,FALSE)),(HLOOKUP(B$31,FringeAndIDCRates,6,FALSE)))))</f>
        <v>0.64</v>
      </c>
      <c r="C440" s="401">
        <f t="shared" si="723"/>
        <v>0.64</v>
      </c>
      <c r="D440" s="401">
        <f t="shared" si="723"/>
        <v>0.64</v>
      </c>
      <c r="E440" s="401">
        <f t="shared" si="723"/>
        <v>0.64</v>
      </c>
      <c r="F440" s="401">
        <f t="shared" si="723"/>
        <v>0.64</v>
      </c>
      <c r="G440" s="401">
        <f t="shared" si="723"/>
        <v>0.64</v>
      </c>
      <c r="H440" s="401">
        <f t="shared" si="723"/>
        <v>0.64</v>
      </c>
      <c r="I440" s="401">
        <f t="shared" si="723"/>
        <v>0.64</v>
      </c>
      <c r="J440" s="401">
        <f t="shared" si="723"/>
        <v>0.64</v>
      </c>
      <c r="K440" s="401">
        <f t="shared" si="723"/>
        <v>0.64</v>
      </c>
      <c r="L440" s="401">
        <f t="shared" si="723"/>
        <v>0.64</v>
      </c>
      <c r="M440" s="401">
        <f t="shared" si="723"/>
        <v>0.64</v>
      </c>
      <c r="N440" s="216"/>
      <c r="O440" s="216"/>
      <c r="Q440" s="102"/>
    </row>
    <row r="441" spans="1:17" x14ac:dyDescent="0.35">
      <c r="A441" s="134" t="str">
        <f>IF($B$8="Yes","","Rate Allowed by Sponsor:")</f>
        <v/>
      </c>
      <c r="B441" s="217" t="str">
        <f t="shared" ref="B441:M441" si="724">IF($B$8="Yes","",IF($B$8="No",HLOOKUP(B$31,FringeAndIDCRates,9,FALSE),(HLOOKUP(B$31,FringeAndIDCRates,9,FALSE))))</f>
        <v/>
      </c>
      <c r="C441" s="217" t="str">
        <f t="shared" si="724"/>
        <v/>
      </c>
      <c r="D441" s="217" t="str">
        <f t="shared" si="724"/>
        <v/>
      </c>
      <c r="E441" s="217" t="str">
        <f t="shared" si="724"/>
        <v/>
      </c>
      <c r="F441" s="217" t="str">
        <f t="shared" si="724"/>
        <v/>
      </c>
      <c r="G441" s="217" t="str">
        <f t="shared" si="724"/>
        <v/>
      </c>
      <c r="H441" s="217" t="str">
        <f t="shared" si="724"/>
        <v/>
      </c>
      <c r="I441" s="217" t="str">
        <f t="shared" si="724"/>
        <v/>
      </c>
      <c r="J441" s="217" t="str">
        <f t="shared" si="724"/>
        <v/>
      </c>
      <c r="K441" s="217" t="str">
        <f t="shared" si="724"/>
        <v/>
      </c>
      <c r="L441" s="217" t="str">
        <f t="shared" si="724"/>
        <v/>
      </c>
      <c r="M441" s="217" t="str">
        <f t="shared" si="724"/>
        <v/>
      </c>
      <c r="N441" s="238"/>
      <c r="O441" s="238"/>
      <c r="Q441" s="102"/>
    </row>
    <row r="442" spans="1:17" x14ac:dyDescent="0.35">
      <c r="B442" s="53"/>
      <c r="C442" s="53"/>
      <c r="D442" s="53"/>
      <c r="E442" s="53"/>
      <c r="F442" s="53"/>
      <c r="G442" s="53"/>
      <c r="H442" s="53"/>
    </row>
    <row r="443" spans="1:17" ht="20" x14ac:dyDescent="0.4">
      <c r="A443" s="40" t="s">
        <v>55</v>
      </c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</row>
    <row r="444" spans="1:17" ht="15.5" x14ac:dyDescent="0.35">
      <c r="A444" s="105" t="s">
        <v>87</v>
      </c>
      <c r="B444" s="106" t="str">
        <f>IF(B447=$AE$5,$AE$8,IF(B447=$AF$5,$AF$8,IF(B447=$AG$5,$AG$8,IF(B447=$AH$5,$AH$8,IF(B447=$AI$5,$AI$8,IF(B447=$AJ$5,$AJ$8,IF(B447=$AK$5,$AK$8,IF(B447=$AL$5,$AL$8,IF(B447=$AM$5,$AM$8,IF(B447=$AN$5,$AN$8,IF(B447=$AO$5,$AO$8,IF(B447=$AP$5,$AP$8," "))))))))))))</f>
        <v xml:space="preserve"> </v>
      </c>
      <c r="C444" s="106" t="str">
        <f t="shared" ref="C444:M444" si="725">IF(C447=$AE$5,$AE$8,IF(C447=$AF$5,$AF$8,IF(C447=$AG$5,$AG$8,IF(C447=$AH$5,$AH$8,IF(C447=$AI$5,$AI$8,IF(C447=$AJ$5,$AJ$8,IF(C447=$AK$5,$AK$8,IF(C447=$AL$5,$AL$8,IF(C447=$AM$5,$AM$8,IF(C447=$AN$5,$AN$8,IF(C447=$AO$5,$AO$8,IF(C447=$AP$5,$AP$8," "))))))))))))</f>
        <v>2023-2024</v>
      </c>
      <c r="D444" s="106" t="str">
        <f t="shared" si="725"/>
        <v>2024-2025</v>
      </c>
      <c r="E444" s="106" t="str">
        <f t="shared" si="725"/>
        <v>2025-2026</v>
      </c>
      <c r="F444" s="106" t="str">
        <f t="shared" si="725"/>
        <v>2026-2027</v>
      </c>
      <c r="G444" s="106" t="str">
        <f t="shared" si="725"/>
        <v>2027-2028</v>
      </c>
      <c r="H444" s="106" t="str">
        <f t="shared" si="725"/>
        <v>2028-2029</v>
      </c>
      <c r="I444" s="106" t="str">
        <f t="shared" si="725"/>
        <v>2029-2030</v>
      </c>
      <c r="J444" s="106" t="str">
        <f t="shared" si="725"/>
        <v>2030-2031</v>
      </c>
      <c r="K444" s="106" t="str">
        <f t="shared" si="725"/>
        <v>2031-2032</v>
      </c>
      <c r="L444" s="106" t="str">
        <f t="shared" si="725"/>
        <v>2032-2033</v>
      </c>
      <c r="M444" s="106" t="str">
        <f t="shared" si="725"/>
        <v>2033-2034</v>
      </c>
      <c r="N444" s="106" t="str">
        <f t="shared" ref="N444" si="726">IF(N447=$AE$5,$AE$8,IF(N447=$AF$5,$AF$8,IF(N447=$AG$5,$AG$8,IF(N447=$AH$5,$AH$8,IF(N447=$AI$5,$AI$8,IF(N447=$AJ$5,$AJ$8,IF(N447=$AK$5,$AK$8,IF(N447=$AL$5,$AL$8,IF(N447=$AM$5,$AM$8,IF(N447=$AN$5,$AN$8,IF(N447=$AO$5,$AO$8,IF(N447=$AP$5,$AP$8," "))))))))))))</f>
        <v>2034-2035</v>
      </c>
    </row>
    <row r="446" spans="1:17" x14ac:dyDescent="0.35">
      <c r="A446" s="218" t="str">
        <f>CONCATENATE("Calculation based on ",O448," month salary")</f>
        <v>Calculation based on 9 month salary</v>
      </c>
      <c r="B446" s="104" t="str">
        <f t="shared" ref="B446:L446" si="727">IF(AND(B447=$AE$5,$O448=9),$AE$3,IF(AND(B447=$AF$5,$O448=9),$AF$3,IF(AND(B447=$AG$5,$O448=9),$AG$3,IF(AND(B447=$AH$5,$O448=9),$AH$3,IF(AND(B447=$AI$5,$O448=9),$AI$3,IF(AND(B447=$AJ$5,$O448=9),$AJ$3,IF(AND(B447=$AK$5,$O448=9),$AK$3,IF(AND(B447=$AL$5,$O448=9),$AL$3,IF(AND(B447=$AM$5,$O448=9),$AM$3,IF(AND(B447=$AN$5,$O448=9),$AN$3,IF(AND(B447=$AO$5,$O448=9),$AO$3,IF(AND(B447=$AP$5,$O448=9),$AJ$3,IF(AND(B447=$AE$4,$O448=12),$AE$3,IF(AND(B447=$AF$4,$O448=12),$AF$3,IF(AND(B447=$AG$4,$O448=12),$AG$3,IF(AND(B447=$AH$4,$O448=12),$AH$3,IF(AND(B447=$AI$4,$O448=12),$AI$3,IF(AND(B447=$AJ$4,$O448=12),$AJ$3,IF(AND(B447=$AK$4,$O448=12),$AK$3,IF(AND(B447=$AL$4,$O448=12),$AL$3,IF(AND(B447=$AM$4,$O448=12),$AM$3,IF(AND(B447=$AN$4,$O448=12),$AN$3,IF(AND(B447=$AO$4,$O448=12),$AO$3,IF(AND(B447=$AP$4,$O448=12),$AJ$3," "))))))))))))))))))))))))</f>
        <v xml:space="preserve"> </v>
      </c>
      <c r="C446" s="104" t="str">
        <f t="shared" si="727"/>
        <v>Year 1</v>
      </c>
      <c r="D446" s="104" t="str">
        <f t="shared" si="727"/>
        <v>Year 2</v>
      </c>
      <c r="E446" s="104" t="str">
        <f t="shared" si="727"/>
        <v>Year 3</v>
      </c>
      <c r="F446" s="104" t="str">
        <f t="shared" si="727"/>
        <v>Year 4</v>
      </c>
      <c r="G446" s="104" t="str">
        <f t="shared" si="727"/>
        <v>Year 5</v>
      </c>
      <c r="H446" s="104" t="str">
        <f t="shared" si="727"/>
        <v>Year 6</v>
      </c>
      <c r="I446" s="104" t="str">
        <f t="shared" si="727"/>
        <v>Year 7</v>
      </c>
      <c r="J446" s="104" t="str">
        <f t="shared" si="727"/>
        <v>Year 8</v>
      </c>
      <c r="K446" s="104" t="str">
        <f t="shared" si="727"/>
        <v>Year 9</v>
      </c>
      <c r="L446" s="104" t="str">
        <f t="shared" si="727"/>
        <v>Year 10</v>
      </c>
      <c r="M446" s="104" t="str">
        <f>IF(AND(M447=$AE$5,$O448=9),$AE$3,IF(AND(M447=$AF$5,$O448=9),$AF$3,IF(AND(M447=$AG$5,$O448=9),$AG$3,IF(AND(M447=$AH$5,$O448=9),$AH$3,IF(AND(M447=$AI$5,$O448=9),$AI$3,IF(AND(M447=$AJ$5,$O448=9),$AJ$3,IF(AND(M447=$AK$5,$O448=9),$AK$3,IF(AND(M447=$AL$5,$O448=9),$AL$3,IF(AND(M447=$AM$5,$O448=9),$AM$3,IF(AND(M447=$AN$5,$O448=9),$AN$3,IF(AND(M447=$AO$5,$O448=9),$AO$3,IF(AND(M447=$AP$5,$O448=9),$AP$3,IF(AND(M447=$AQ$5,$O448=9),$AJ$3,IF(AND(M447=$AE$4,$O448=12),$AE$3,IF(AND(M447=$AF$4,$O448=12),$AF$3,IF(AND(M447=$AG$4,$O448=12),$AG$3,IF(AND(M447=$AH$4,$O448=12),$AH$3,IF(AND(M447=$AI$4,$O448=12),$AI$3,IF(AND(M447=$AJ$4,$O448=12),$AJ$3,IF(AND(M447=$AK$4,$O448=12),$AK$3,IF(AND(M447=$AL$4,$O448=12),$AL$3,IF(AND(M447=$AM$4,$O448=12),$AM$3,IF(AND(M447=$AN$4,$O448=12),$AN$3,IF(AND(M447=$AO$4,$O448=12),$AO$3,IF(AND(M447=$AP$4,$O448=12),$AP$3,IF(AND(M447=$AQ$4,$O448=12),$AJ$3," "))))))))))))))))))))))))))</f>
        <v>Year 11</v>
      </c>
      <c r="N446" s="104" t="str">
        <f>IF(AND(N447=$AE$5,$O448=9),$AE$3,IF(AND(N447=$AF$5,$O448=9),$AF$3,IF(AND(N447=$AG$5,$O448=9),$AG$3,IF(AND(N447=$AH$5,$O448=9),$AH$3,IF(AND(N447=$AI$5,$O448=9),$AI$3,IF(AND(N447=$AJ$5,$O448=9),$AJ$3,IF(AND(N447=$AK$5,$O448=9),$AK$3,IF(AND(N447=$AL$5,$O448=9),$AL$3,IF(AND(N447=$AM$5,$O448=9),$AM$3,IF(AND(N447=$AN$5,$O448=9),$AN$3,IF(AND(N447=$AO$5,$O448=9),$AO$3,IF(AND(N447=$AP$5,$O448=9),$AP$3,IF(AND(N447=$AQ$5,$O448=9),$AJ$3,IF(AND(N447=$AE$4,$O448=12),$AE$3,IF(AND(N447=$AF$4,$O448=12),$AF$3,IF(AND(N447=$AG$4,$O448=12),$AG$3,IF(AND(N447=$AH$4,$O448=12),$AH$3,IF(AND(N447=$AI$4,$O448=12),$AI$3,IF(AND(N447=$AJ$4,$O448=12),$AJ$3,IF(AND(N447=$AK$4,$O448=12),$AK$3,IF(AND(N447=$AL$4,$O448=12),$AL$3,IF(AND(N447=$AM$4,$O448=12),$AM$3,IF(AND(N447=$AN$4,$O448=12),$AN$3,IF(AND(N447=$AO$4,$O448=12),$AO$3,IF(AND(N447=$AP$4,$O448=12),$AP$3,IF(AND(N447=$AQ$4,$O448=12),$AJ$3," "))))))))))))))))))))))))))</f>
        <v>Year 12</v>
      </c>
    </row>
    <row r="447" spans="1:17" x14ac:dyDescent="0.35">
      <c r="A447" s="219" t="str">
        <f>+B427</f>
        <v>Co-PI</v>
      </c>
      <c r="B447" s="55" t="str">
        <f t="shared" ref="B447:I447" si="728">+N$2</f>
        <v>FY2023</v>
      </c>
      <c r="C447" s="55" t="str">
        <f t="shared" si="728"/>
        <v>FY2024</v>
      </c>
      <c r="D447" s="55" t="str">
        <f t="shared" si="728"/>
        <v>FY2025</v>
      </c>
      <c r="E447" s="55" t="str">
        <f t="shared" si="728"/>
        <v>FY2026</v>
      </c>
      <c r="F447" s="55" t="str">
        <f t="shared" si="728"/>
        <v>FY2027</v>
      </c>
      <c r="G447" s="55" t="str">
        <f t="shared" si="728"/>
        <v>FY2028</v>
      </c>
      <c r="H447" s="55" t="str">
        <f t="shared" si="728"/>
        <v>FY2029</v>
      </c>
      <c r="I447" s="55" t="str">
        <f t="shared" si="728"/>
        <v>FY2030</v>
      </c>
      <c r="J447" s="55" t="str">
        <f t="shared" ref="J447" si="729">+V$2</f>
        <v>FY2031</v>
      </c>
      <c r="K447" s="55" t="str">
        <f t="shared" ref="K447" si="730">+W$2</f>
        <v>FY2032</v>
      </c>
      <c r="L447" s="55" t="str">
        <f t="shared" ref="L447" si="731">+X$2</f>
        <v>FY2033</v>
      </c>
      <c r="M447" s="55" t="str">
        <f t="shared" ref="M447:N447" si="732">+Y$2</f>
        <v>FY2034</v>
      </c>
      <c r="N447" s="55" t="str">
        <f t="shared" si="732"/>
        <v>FY2035</v>
      </c>
      <c r="O447" s="32" t="s">
        <v>20</v>
      </c>
      <c r="P447" s="89" t="s">
        <v>64</v>
      </c>
      <c r="Q447" s="89"/>
    </row>
    <row r="448" spans="1:17" x14ac:dyDescent="0.35">
      <c r="A448" s="220" t="str">
        <f>CONCATENATE("Base Salary: ",O448," month term")</f>
        <v>Base Salary: 9 month term</v>
      </c>
      <c r="B448" s="385">
        <v>0</v>
      </c>
      <c r="C448" s="386">
        <f>ROUND(+B448*(1+$P$448),0)</f>
        <v>0</v>
      </c>
      <c r="D448" s="386">
        <f t="shared" ref="D448:N448" si="733">ROUND(+C448*(1+$P$448),0)</f>
        <v>0</v>
      </c>
      <c r="E448" s="386">
        <f t="shared" si="733"/>
        <v>0</v>
      </c>
      <c r="F448" s="386">
        <f t="shared" si="733"/>
        <v>0</v>
      </c>
      <c r="G448" s="386">
        <f t="shared" si="733"/>
        <v>0</v>
      </c>
      <c r="H448" s="386">
        <f t="shared" si="733"/>
        <v>0</v>
      </c>
      <c r="I448" s="386">
        <f t="shared" si="733"/>
        <v>0</v>
      </c>
      <c r="J448" s="386">
        <f t="shared" si="733"/>
        <v>0</v>
      </c>
      <c r="K448" s="386">
        <f t="shared" si="733"/>
        <v>0</v>
      </c>
      <c r="L448" s="386">
        <f t="shared" si="733"/>
        <v>0</v>
      </c>
      <c r="M448" s="386">
        <f t="shared" si="733"/>
        <v>0</v>
      </c>
      <c r="N448" s="386">
        <f t="shared" si="733"/>
        <v>0</v>
      </c>
      <c r="O448" s="311">
        <v>9</v>
      </c>
      <c r="P448" s="312">
        <v>0.03</v>
      </c>
      <c r="Q448" s="52"/>
    </row>
    <row r="449" spans="1:23" x14ac:dyDescent="0.35">
      <c r="A449" s="220" t="s">
        <v>44</v>
      </c>
      <c r="B449" s="313">
        <v>0</v>
      </c>
      <c r="C449" s="313">
        <v>0</v>
      </c>
      <c r="D449" s="313">
        <v>0</v>
      </c>
      <c r="E449" s="313">
        <v>0</v>
      </c>
      <c r="F449" s="313">
        <v>0</v>
      </c>
      <c r="G449" s="313">
        <v>0</v>
      </c>
      <c r="H449" s="313">
        <v>0</v>
      </c>
      <c r="I449" s="313">
        <v>0</v>
      </c>
      <c r="J449" s="313">
        <v>0</v>
      </c>
      <c r="K449" s="313">
        <v>0</v>
      </c>
      <c r="L449" s="313">
        <v>0</v>
      </c>
      <c r="M449" s="313">
        <v>0</v>
      </c>
      <c r="N449" s="313">
        <v>0</v>
      </c>
      <c r="O449" s="25"/>
      <c r="P449" s="25"/>
      <c r="Q449" s="25"/>
    </row>
    <row r="450" spans="1:23" x14ac:dyDescent="0.35">
      <c r="A450" s="220" t="str">
        <f>CONCATENATE("FTE for ",O448," Months")</f>
        <v>FTE for 9 Months</v>
      </c>
      <c r="B450" s="395">
        <f t="shared" ref="B450:M450" si="734">+B449/$O448</f>
        <v>0</v>
      </c>
      <c r="C450" s="395">
        <f t="shared" si="734"/>
        <v>0</v>
      </c>
      <c r="D450" s="395">
        <f t="shared" si="734"/>
        <v>0</v>
      </c>
      <c r="E450" s="395">
        <f t="shared" si="734"/>
        <v>0</v>
      </c>
      <c r="F450" s="395">
        <f t="shared" si="734"/>
        <v>0</v>
      </c>
      <c r="G450" s="395">
        <f t="shared" si="734"/>
        <v>0</v>
      </c>
      <c r="H450" s="395">
        <f t="shared" si="734"/>
        <v>0</v>
      </c>
      <c r="I450" s="395">
        <f t="shared" si="734"/>
        <v>0</v>
      </c>
      <c r="J450" s="395">
        <f t="shared" si="734"/>
        <v>0</v>
      </c>
      <c r="K450" s="395">
        <f t="shared" si="734"/>
        <v>0</v>
      </c>
      <c r="L450" s="395">
        <f t="shared" si="734"/>
        <v>0</v>
      </c>
      <c r="M450" s="395">
        <f t="shared" si="734"/>
        <v>0</v>
      </c>
      <c r="N450" s="395">
        <f t="shared" ref="N450" si="735">+N449/$O448</f>
        <v>0</v>
      </c>
      <c r="O450" s="89"/>
      <c r="P450" s="89"/>
      <c r="Q450" s="89"/>
    </row>
    <row r="451" spans="1:23" x14ac:dyDescent="0.35">
      <c r="A451" s="221" t="s">
        <v>56</v>
      </c>
      <c r="B451" s="396">
        <f t="shared" ref="B451:D451" si="736">+B449/12</f>
        <v>0</v>
      </c>
      <c r="C451" s="396">
        <f t="shared" si="736"/>
        <v>0</v>
      </c>
      <c r="D451" s="396">
        <f t="shared" si="736"/>
        <v>0</v>
      </c>
      <c r="E451" s="396">
        <f t="shared" ref="E451:L451" si="737">+E449/12</f>
        <v>0</v>
      </c>
      <c r="F451" s="396">
        <f t="shared" si="737"/>
        <v>0</v>
      </c>
      <c r="G451" s="396">
        <f t="shared" si="737"/>
        <v>0</v>
      </c>
      <c r="H451" s="396">
        <f t="shared" si="737"/>
        <v>0</v>
      </c>
      <c r="I451" s="396">
        <f t="shared" si="737"/>
        <v>0</v>
      </c>
      <c r="J451" s="396">
        <f t="shared" si="737"/>
        <v>0</v>
      </c>
      <c r="K451" s="396">
        <f t="shared" si="737"/>
        <v>0</v>
      </c>
      <c r="L451" s="396">
        <f t="shared" si="737"/>
        <v>0</v>
      </c>
      <c r="M451" s="396">
        <f t="shared" ref="M451:N451" si="738">+M449/12</f>
        <v>0</v>
      </c>
      <c r="N451" s="396">
        <f t="shared" si="738"/>
        <v>0</v>
      </c>
      <c r="O451" s="89"/>
      <c r="P451" s="89"/>
      <c r="Q451" s="89"/>
    </row>
    <row r="452" spans="1:23" x14ac:dyDescent="0.35">
      <c r="A452" s="220" t="s">
        <v>21</v>
      </c>
      <c r="B452" s="110">
        <f t="shared" ref="B452:K452" si="739">IF($O448=9,ROUND(B448*B450,0),IF($O448=12,ROUND((B448*B450*$Q$35)+(C448*B450*$Q$36),0),0))</f>
        <v>0</v>
      </c>
      <c r="C452" s="110">
        <f t="shared" si="739"/>
        <v>0</v>
      </c>
      <c r="D452" s="110">
        <f t="shared" si="739"/>
        <v>0</v>
      </c>
      <c r="E452" s="110">
        <f t="shared" si="739"/>
        <v>0</v>
      </c>
      <c r="F452" s="110">
        <f t="shared" si="739"/>
        <v>0</v>
      </c>
      <c r="G452" s="110">
        <f t="shared" si="739"/>
        <v>0</v>
      </c>
      <c r="H452" s="110">
        <f t="shared" si="739"/>
        <v>0</v>
      </c>
      <c r="I452" s="110">
        <f t="shared" si="739"/>
        <v>0</v>
      </c>
      <c r="J452" s="110">
        <f t="shared" si="739"/>
        <v>0</v>
      </c>
      <c r="K452" s="110">
        <f t="shared" si="739"/>
        <v>0</v>
      </c>
      <c r="L452" s="110">
        <f>IF($O448=9,ROUND(L448*L450,0),IF($O448=12,ROUND((L448*L450*$Q$35)+(N448*L450*$Q$36),0),0))</f>
        <v>0</v>
      </c>
      <c r="M452" s="110">
        <f>IF($O448=9,ROUND(M448*M450,0),IF($O448=12,ROUND((M448*M450*$Q$35)+(O448*M450*$Q$36),0),0))</f>
        <v>0</v>
      </c>
      <c r="N452" s="110">
        <f>IF($O448=9,ROUND(N448*N450,0),IF($O448=12,ROUND((N448*N450*$Q$35)+(P448*N450*$Q$36),0),0))</f>
        <v>0</v>
      </c>
      <c r="O452" s="89"/>
      <c r="P452" s="89"/>
      <c r="Q452" s="89"/>
    </row>
    <row r="453" spans="1:23" x14ac:dyDescent="0.35">
      <c r="A453" s="213"/>
      <c r="O453" s="89"/>
      <c r="P453" s="89"/>
      <c r="Q453" s="89"/>
    </row>
    <row r="454" spans="1:23" x14ac:dyDescent="0.35">
      <c r="A454" s="218" t="str">
        <f>CONCATENATE("Calculation based on ",O456," month salary")</f>
        <v>Calculation based on 9 month salary</v>
      </c>
      <c r="B454" s="104" t="str">
        <f t="shared" ref="B454:L454" si="740">IF(AND(B455=$AE$5,$O456=9),$AE$3,IF(AND(B455=$AF$5,$O456=9),$AF$3,IF(AND(B455=$AG$5,$O456=9),$AG$3,IF(AND(B455=$AH$5,$O456=9),$AH$3,IF(AND(B455=$AI$5,$O456=9),$AI$3,IF(AND(B455=$AJ$5,$O456=9),$AJ$3,IF(AND(B455=$AK$5,$O456=9),$AK$3,IF(AND(B455=$AL$5,$O456=9),$AL$3,IF(AND(B455=$AM$5,$O456=9),$AM$3,IF(AND(B455=$AN$5,$O456=9),$AN$3,IF(AND(B455=$AO$5,$O456=9),$AO$3,IF(AND(B455=$AP$5,$O456=9),$AJ$3,IF(AND(B455=$AE$4,$O456=12),$AE$3,IF(AND(B455=$AF$4,$O456=12),$AF$3,IF(AND(B455=$AG$4,$O456=12),$AG$3,IF(AND(B455=$AH$4,$O456=12),$AH$3,IF(AND(B455=$AI$4,$O456=12),$AI$3,IF(AND(B455=$AJ$4,$O456=12),$AJ$3,IF(AND(B455=$AK$4,$O456=12),$AK$3,IF(AND(B455=$AL$4,$O456=12),$AL$3,IF(AND(B455=$AM$4,$O456=12),$AM$3,IF(AND(B455=$AN$4,$O456=12),$AN$3,IF(AND(B455=$AO$4,$O456=12),$AO$3,IF(AND(B455=$AP$4,$O456=12),$AJ$3," "))))))))))))))))))))))))</f>
        <v xml:space="preserve"> </v>
      </c>
      <c r="C454" s="104" t="str">
        <f t="shared" si="740"/>
        <v>Year 1</v>
      </c>
      <c r="D454" s="104" t="str">
        <f t="shared" si="740"/>
        <v>Year 2</v>
      </c>
      <c r="E454" s="104" t="str">
        <f t="shared" si="740"/>
        <v>Year 3</v>
      </c>
      <c r="F454" s="104" t="str">
        <f t="shared" si="740"/>
        <v>Year 4</v>
      </c>
      <c r="G454" s="104" t="str">
        <f t="shared" si="740"/>
        <v>Year 5</v>
      </c>
      <c r="H454" s="104" t="str">
        <f t="shared" si="740"/>
        <v>Year 6</v>
      </c>
      <c r="I454" s="104" t="str">
        <f t="shared" si="740"/>
        <v>Year 7</v>
      </c>
      <c r="J454" s="104" t="str">
        <f t="shared" si="740"/>
        <v>Year 8</v>
      </c>
      <c r="K454" s="104" t="str">
        <f t="shared" si="740"/>
        <v>Year 9</v>
      </c>
      <c r="L454" s="104" t="str">
        <f t="shared" si="740"/>
        <v>Year 10</v>
      </c>
      <c r="M454" s="104" t="str">
        <f>IF(AND(M455=$AE$5,$O456=9),$AE$3,IF(AND(M455=$AF$5,$O456=9),$AF$3,IF(AND(M455=$AG$5,$O456=9),$AG$3,IF(AND(M455=$AH$5,$O456=9),$AH$3,IF(AND(M455=$AI$5,$O456=9),$AI$3,IF(AND(M455=$AJ$5,$O456=9),$AJ$3,IF(AND(M455=$AK$5,$O456=9),$AK$3,IF(AND(M455=$AL$5,$O456=9),$AL$3,IF(AND(M455=$AM$5,$O456=9),$AM$3,IF(AND(M455=$AN$5,$O456=9),$AN$3,IF(AND(M455=$AO$5,$O456=9),$AO$3,IF(AND(M455=$AP$5,$O456=9),$AP$3,IF(AND(M455=$AQ$5,$O456=9),$AJ$3,IF(AND(M455=$AE$4,$O456=12),$AE$3,IF(AND(M455=$AF$4,$O456=12),$AF$3,IF(AND(M455=$AG$4,$O456=12),$AG$3,IF(AND(M455=$AH$4,$O456=12),$AH$3,IF(AND(M455=$AI$4,$O456=12),$AI$3,IF(AND(M455=$AJ$4,$O456=12),$AJ$3,IF(AND(M455=$AK$4,$O456=12),$AK$3,IF(AND(M455=$AL$4,$O456=12),$AL$3,IF(AND(M455=$AM$4,$O456=12),$AM$3,IF(AND(M455=$AN$4,$O456=12),$AN$3,IF(AND(M455=$AO$4,$O456=12),$AO$3,IF(AND(M455=$AP$4,$O456=12),$AP$3,IF(AND(M455=$AQ$4,$O456=12),$AJ$3," "))))))))))))))))))))))))))</f>
        <v>Year 11</v>
      </c>
      <c r="N454" s="104" t="str">
        <f>IF(AND(N455=$AE$5,$O456=9),$AE$3,IF(AND(N455=$AF$5,$O456=9),$AF$3,IF(AND(N455=$AG$5,$O456=9),$AG$3,IF(AND(N455=$AH$5,$O456=9),$AH$3,IF(AND(N455=$AI$5,$O456=9),$AI$3,IF(AND(N455=$AJ$5,$O456=9),$AJ$3,IF(AND(N455=$AK$5,$O456=9),$AK$3,IF(AND(N455=$AL$5,$O456=9),$AL$3,IF(AND(N455=$AM$5,$O456=9),$AM$3,IF(AND(N455=$AN$5,$O456=9),$AN$3,IF(AND(N455=$AO$5,$O456=9),$AO$3,IF(AND(N455=$AP$5,$O456=9),$AP$3,IF(AND(N455=$AQ$5,$O456=9),$AJ$3,IF(AND(N455=$AE$4,$O456=12),$AE$3,IF(AND(N455=$AF$4,$O456=12),$AF$3,IF(AND(N455=$AG$4,$O456=12),$AG$3,IF(AND(N455=$AH$4,$O456=12),$AH$3,IF(AND(N455=$AI$4,$O456=12),$AI$3,IF(AND(N455=$AJ$4,$O456=12),$AJ$3,IF(AND(N455=$AK$4,$O456=12),$AK$3,IF(AND(N455=$AL$4,$O456=12),$AL$3,IF(AND(N455=$AM$4,$O456=12),$AM$3,IF(AND(N455=$AN$4,$O456=12),$AN$3,IF(AND(N455=$AO$4,$O456=12),$AO$3,IF(AND(N455=$AP$4,$O456=12),$AP$3,IF(AND(N455=$AQ$4,$O456=12),$AJ$3," "))))))))))))))))))))))))))</f>
        <v>Year 12</v>
      </c>
      <c r="O454" s="89"/>
      <c r="P454" s="89"/>
      <c r="Q454" s="89"/>
      <c r="V454" s="23"/>
    </row>
    <row r="455" spans="1:23" x14ac:dyDescent="0.35">
      <c r="A455" s="219" t="str">
        <f>+B428</f>
        <v>Co-PI</v>
      </c>
      <c r="B455" s="55" t="str">
        <f t="shared" ref="B455:I455" si="741">+N$2</f>
        <v>FY2023</v>
      </c>
      <c r="C455" s="55" t="str">
        <f t="shared" si="741"/>
        <v>FY2024</v>
      </c>
      <c r="D455" s="55" t="str">
        <f t="shared" si="741"/>
        <v>FY2025</v>
      </c>
      <c r="E455" s="55" t="str">
        <f t="shared" si="741"/>
        <v>FY2026</v>
      </c>
      <c r="F455" s="55" t="str">
        <f t="shared" si="741"/>
        <v>FY2027</v>
      </c>
      <c r="G455" s="55" t="str">
        <f t="shared" si="741"/>
        <v>FY2028</v>
      </c>
      <c r="H455" s="55" t="str">
        <f t="shared" si="741"/>
        <v>FY2029</v>
      </c>
      <c r="I455" s="55" t="str">
        <f t="shared" si="741"/>
        <v>FY2030</v>
      </c>
      <c r="J455" s="55" t="str">
        <f t="shared" ref="J455" si="742">+V$2</f>
        <v>FY2031</v>
      </c>
      <c r="K455" s="55" t="str">
        <f t="shared" ref="K455" si="743">+W$2</f>
        <v>FY2032</v>
      </c>
      <c r="L455" s="55" t="str">
        <f t="shared" ref="L455" si="744">+X$2</f>
        <v>FY2033</v>
      </c>
      <c r="M455" s="55" t="str">
        <f t="shared" ref="M455:N455" si="745">+Y$2</f>
        <v>FY2034</v>
      </c>
      <c r="N455" s="55" t="str">
        <f t="shared" si="745"/>
        <v>FY2035</v>
      </c>
      <c r="O455" s="32" t="s">
        <v>20</v>
      </c>
      <c r="P455" s="89" t="s">
        <v>64</v>
      </c>
      <c r="Q455" s="89"/>
      <c r="V455" s="23"/>
    </row>
    <row r="456" spans="1:23" x14ac:dyDescent="0.35">
      <c r="A456" s="220" t="str">
        <f>CONCATENATE("Base Salary: ",O456," month term")</f>
        <v>Base Salary: 9 month term</v>
      </c>
      <c r="B456" s="385">
        <v>0</v>
      </c>
      <c r="C456" s="386">
        <f t="shared" ref="C456:N456" si="746">ROUND(+B456*(1+$P$456),0)</f>
        <v>0</v>
      </c>
      <c r="D456" s="386">
        <f t="shared" si="746"/>
        <v>0</v>
      </c>
      <c r="E456" s="386">
        <f t="shared" si="746"/>
        <v>0</v>
      </c>
      <c r="F456" s="386">
        <f t="shared" si="746"/>
        <v>0</v>
      </c>
      <c r="G456" s="386">
        <f t="shared" si="746"/>
        <v>0</v>
      </c>
      <c r="H456" s="386">
        <f t="shared" si="746"/>
        <v>0</v>
      </c>
      <c r="I456" s="386">
        <f t="shared" si="746"/>
        <v>0</v>
      </c>
      <c r="J456" s="386">
        <f t="shared" si="746"/>
        <v>0</v>
      </c>
      <c r="K456" s="386">
        <f t="shared" si="746"/>
        <v>0</v>
      </c>
      <c r="L456" s="386">
        <f t="shared" si="746"/>
        <v>0</v>
      </c>
      <c r="M456" s="386">
        <f t="shared" si="746"/>
        <v>0</v>
      </c>
      <c r="N456" s="386">
        <f t="shared" si="746"/>
        <v>0</v>
      </c>
      <c r="O456" s="311">
        <v>9</v>
      </c>
      <c r="P456" s="312">
        <v>0.03</v>
      </c>
      <c r="Q456" s="52"/>
      <c r="V456" s="23"/>
    </row>
    <row r="457" spans="1:23" x14ac:dyDescent="0.35">
      <c r="A457" s="220" t="s">
        <v>44</v>
      </c>
      <c r="B457" s="313">
        <v>0</v>
      </c>
      <c r="C457" s="313">
        <v>0</v>
      </c>
      <c r="D457" s="313">
        <v>0</v>
      </c>
      <c r="E457" s="313">
        <v>0</v>
      </c>
      <c r="F457" s="313">
        <v>0</v>
      </c>
      <c r="G457" s="313">
        <v>0</v>
      </c>
      <c r="H457" s="313">
        <v>0</v>
      </c>
      <c r="I457" s="313">
        <v>0</v>
      </c>
      <c r="J457" s="313">
        <v>0</v>
      </c>
      <c r="K457" s="313">
        <v>0</v>
      </c>
      <c r="L457" s="313">
        <v>0</v>
      </c>
      <c r="M457" s="313">
        <v>0</v>
      </c>
      <c r="N457" s="313">
        <v>0</v>
      </c>
      <c r="O457" s="25"/>
      <c r="P457" s="25"/>
      <c r="Q457" s="25"/>
    </row>
    <row r="458" spans="1:23" x14ac:dyDescent="0.35">
      <c r="A458" s="220" t="str">
        <f>CONCATENATE("FTE for ",O456," Months")</f>
        <v>FTE for 9 Months</v>
      </c>
      <c r="B458" s="395">
        <f t="shared" ref="B458:M458" si="747">+B457/$O456</f>
        <v>0</v>
      </c>
      <c r="C458" s="395">
        <f t="shared" si="747"/>
        <v>0</v>
      </c>
      <c r="D458" s="395">
        <f t="shared" si="747"/>
        <v>0</v>
      </c>
      <c r="E458" s="395">
        <f t="shared" si="747"/>
        <v>0</v>
      </c>
      <c r="F458" s="395">
        <f t="shared" si="747"/>
        <v>0</v>
      </c>
      <c r="G458" s="395">
        <f t="shared" si="747"/>
        <v>0</v>
      </c>
      <c r="H458" s="395">
        <f t="shared" si="747"/>
        <v>0</v>
      </c>
      <c r="I458" s="395">
        <f t="shared" si="747"/>
        <v>0</v>
      </c>
      <c r="J458" s="395">
        <f t="shared" si="747"/>
        <v>0</v>
      </c>
      <c r="K458" s="395">
        <f t="shared" si="747"/>
        <v>0</v>
      </c>
      <c r="L458" s="395">
        <f t="shared" si="747"/>
        <v>0</v>
      </c>
      <c r="M458" s="395">
        <f t="shared" si="747"/>
        <v>0</v>
      </c>
      <c r="N458" s="395">
        <f t="shared" ref="N458" si="748">+N457/$O456</f>
        <v>0</v>
      </c>
      <c r="O458" s="89"/>
      <c r="P458" s="89"/>
      <c r="Q458" s="89"/>
    </row>
    <row r="459" spans="1:23" x14ac:dyDescent="0.35">
      <c r="A459" s="221" t="s">
        <v>56</v>
      </c>
      <c r="B459" s="396">
        <f>+B457/12</f>
        <v>0</v>
      </c>
      <c r="C459" s="396">
        <f>+C457/12</f>
        <v>0</v>
      </c>
      <c r="D459" s="396">
        <f t="shared" ref="D459" si="749">+D457/12</f>
        <v>0</v>
      </c>
      <c r="E459" s="396">
        <f t="shared" ref="E459:L459" si="750">+E457/12</f>
        <v>0</v>
      </c>
      <c r="F459" s="396">
        <f t="shared" si="750"/>
        <v>0</v>
      </c>
      <c r="G459" s="396">
        <f t="shared" si="750"/>
        <v>0</v>
      </c>
      <c r="H459" s="396">
        <f t="shared" si="750"/>
        <v>0</v>
      </c>
      <c r="I459" s="396">
        <f t="shared" si="750"/>
        <v>0</v>
      </c>
      <c r="J459" s="396">
        <f t="shared" si="750"/>
        <v>0</v>
      </c>
      <c r="K459" s="396">
        <f t="shared" si="750"/>
        <v>0</v>
      </c>
      <c r="L459" s="396">
        <f t="shared" si="750"/>
        <v>0</v>
      </c>
      <c r="M459" s="396">
        <f t="shared" ref="M459:N459" si="751">+M457/12</f>
        <v>0</v>
      </c>
      <c r="N459" s="396">
        <f t="shared" si="751"/>
        <v>0</v>
      </c>
      <c r="O459" s="89"/>
      <c r="P459" s="89"/>
      <c r="Q459" s="89"/>
    </row>
    <row r="460" spans="1:23" x14ac:dyDescent="0.35">
      <c r="A460" s="220" t="s">
        <v>21</v>
      </c>
      <c r="B460" s="110">
        <f t="shared" ref="B460:K460" si="752">IF($O456=9,ROUND(B456*B458,0),IF($O456=12,ROUND((B456*B458*$Q$35)+(C456*B458*$Q$36),0),0))</f>
        <v>0</v>
      </c>
      <c r="C460" s="110">
        <f t="shared" si="752"/>
        <v>0</v>
      </c>
      <c r="D460" s="110">
        <f t="shared" si="752"/>
        <v>0</v>
      </c>
      <c r="E460" s="110">
        <f t="shared" si="752"/>
        <v>0</v>
      </c>
      <c r="F460" s="110">
        <f t="shared" si="752"/>
        <v>0</v>
      </c>
      <c r="G460" s="110">
        <f t="shared" si="752"/>
        <v>0</v>
      </c>
      <c r="H460" s="110">
        <f t="shared" si="752"/>
        <v>0</v>
      </c>
      <c r="I460" s="110">
        <f t="shared" si="752"/>
        <v>0</v>
      </c>
      <c r="J460" s="110">
        <f t="shared" si="752"/>
        <v>0</v>
      </c>
      <c r="K460" s="110">
        <f t="shared" si="752"/>
        <v>0</v>
      </c>
      <c r="L460" s="110">
        <f>IF($O456=9,ROUND(L456*L458,0),IF($O456=12,ROUND((L456*L458*$Q$35)+(N456*L458*$Q$36),0),0))</f>
        <v>0</v>
      </c>
      <c r="M460" s="110">
        <f>IF($O456=9,ROUND(M456*M458,0),IF($O456=12,ROUND((M456*M458*$Q$35)+(O456*M458*$Q$36),0),0))</f>
        <v>0</v>
      </c>
      <c r="N460" s="110">
        <f>IF($O456=9,ROUND(N456*N458,0),IF($O456=12,ROUND((N456*N458*$Q$35)+(P456*N458*$Q$36),0),0))</f>
        <v>0</v>
      </c>
      <c r="O460" s="89"/>
      <c r="P460" s="89"/>
      <c r="Q460" s="89"/>
    </row>
    <row r="461" spans="1:23" x14ac:dyDescent="0.35">
      <c r="A461" s="220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89"/>
      <c r="P461" s="89"/>
      <c r="Q461" s="89"/>
      <c r="R461" s="26"/>
      <c r="S461" s="23"/>
      <c r="T461" s="23"/>
      <c r="U461" s="23"/>
      <c r="V461" s="23"/>
      <c r="W461" s="23"/>
    </row>
    <row r="462" spans="1:23" x14ac:dyDescent="0.35">
      <c r="A462" s="218" t="str">
        <f>CONCATENATE("Calculation based on ",O464," month salary")</f>
        <v>Calculation based on 9 month salary</v>
      </c>
      <c r="B462" s="104" t="str">
        <f t="shared" ref="B462:L462" si="753">IF(AND(B463=$AE$5,$O464=9),$AE$3,IF(AND(B463=$AF$5,$O464=9),$AF$3,IF(AND(B463=$AG$5,$O464=9),$AG$3,IF(AND(B463=$AH$5,$O464=9),$AH$3,IF(AND(B463=$AI$5,$O464=9),$AI$3,IF(AND(B463=$AJ$5,$O464=9),$AJ$3,IF(AND(B463=$AK$5,$O464=9),$AK$3,IF(AND(B463=$AL$5,$O464=9),$AL$3,IF(AND(B463=$AM$5,$O464=9),$AM$3,IF(AND(B463=$AN$5,$O464=9),$AN$3,IF(AND(B463=$AO$5,$O464=9),$AO$3,IF(AND(B463=$AP$5,$O464=9),$AJ$3,IF(AND(B463=$AE$4,$O464=12),$AE$3,IF(AND(B463=$AF$4,$O464=12),$AF$3,IF(AND(B463=$AG$4,$O464=12),$AG$3,IF(AND(B463=$AH$4,$O464=12),$AH$3,IF(AND(B463=$AI$4,$O464=12),$AI$3,IF(AND(B463=$AJ$4,$O464=12),$AJ$3,IF(AND(B463=$AK$4,$O464=12),$AK$3,IF(AND(B463=$AL$4,$O464=12),$AL$3,IF(AND(B463=$AM$4,$O464=12),$AM$3,IF(AND(B463=$AN$4,$O464=12),$AN$3,IF(AND(B463=$AO$4,$O464=12),$AO$3,IF(AND(B463=$AP$4,$O464=12),$AJ$3," "))))))))))))))))))))))))</f>
        <v xml:space="preserve"> </v>
      </c>
      <c r="C462" s="104" t="str">
        <f t="shared" si="753"/>
        <v>Year 1</v>
      </c>
      <c r="D462" s="104" t="str">
        <f t="shared" si="753"/>
        <v>Year 2</v>
      </c>
      <c r="E462" s="104" t="str">
        <f t="shared" si="753"/>
        <v>Year 3</v>
      </c>
      <c r="F462" s="104" t="str">
        <f t="shared" si="753"/>
        <v>Year 4</v>
      </c>
      <c r="G462" s="104" t="str">
        <f t="shared" si="753"/>
        <v>Year 5</v>
      </c>
      <c r="H462" s="104" t="str">
        <f t="shared" si="753"/>
        <v>Year 6</v>
      </c>
      <c r="I462" s="104" t="str">
        <f t="shared" si="753"/>
        <v>Year 7</v>
      </c>
      <c r="J462" s="104" t="str">
        <f t="shared" si="753"/>
        <v>Year 8</v>
      </c>
      <c r="K462" s="104" t="str">
        <f t="shared" si="753"/>
        <v>Year 9</v>
      </c>
      <c r="L462" s="104" t="str">
        <f t="shared" si="753"/>
        <v>Year 10</v>
      </c>
      <c r="M462" s="104" t="str">
        <f>IF(AND(M463=$AE$5,$O464=9),$AE$3,IF(AND(M463=$AF$5,$O464=9),$AF$3,IF(AND(M463=$AG$5,$O464=9),$AG$3,IF(AND(M463=$AH$5,$O464=9),$AH$3,IF(AND(M463=$AI$5,$O464=9),$AI$3,IF(AND(M463=$AJ$5,$O464=9),$AJ$3,IF(AND(M463=$AK$5,$O464=9),$AK$3,IF(AND(M463=$AL$5,$O464=9),$AL$3,IF(AND(M463=$AM$5,$O464=9),$AM$3,IF(AND(M463=$AN$5,$O464=9),$AN$3,IF(AND(M463=$AO$5,$O464=9),$AO$3,IF(AND(M463=$AP$5,$O464=9),$AP$3,IF(AND(M463=$AQ$5,$O464=9),$AJ$3,IF(AND(M463=$AE$4,$O464=12),$AE$3,IF(AND(M463=$AF$4,$O464=12),$AF$3,IF(AND(M463=$AG$4,$O464=12),$AG$3,IF(AND(M463=$AH$4,$O464=12),$AH$3,IF(AND(M463=$AI$4,$O464=12),$AI$3,IF(AND(M463=$AJ$4,$O464=12),$AJ$3,IF(AND(M463=$AK$4,$O464=12),$AK$3,IF(AND(M463=$AL$4,$O464=12),$AL$3,IF(AND(M463=$AM$4,$O464=12),$AM$3,IF(AND(M463=$AN$4,$O464=12),$AN$3,IF(AND(M463=$AO$4,$O464=12),$AO$3,IF(AND(M463=$AP$4,$O464=12),$AP$3,IF(AND(M463=$AQ$4,$O464=12),$AJ$3," "))))))))))))))))))))))))))</f>
        <v>Year 11</v>
      </c>
      <c r="N462" s="104" t="str">
        <f>IF(AND(N463=$AE$5,$O464=9),$AE$3,IF(AND(N463=$AF$5,$O464=9),$AF$3,IF(AND(N463=$AG$5,$O464=9),$AG$3,IF(AND(N463=$AH$5,$O464=9),$AH$3,IF(AND(N463=$AI$5,$O464=9),$AI$3,IF(AND(N463=$AJ$5,$O464=9),$AJ$3,IF(AND(N463=$AK$5,$O464=9),$AK$3,IF(AND(N463=$AL$5,$O464=9),$AL$3,IF(AND(N463=$AM$5,$O464=9),$AM$3,IF(AND(N463=$AN$5,$O464=9),$AN$3,IF(AND(N463=$AO$5,$O464=9),$AO$3,IF(AND(N463=$AP$5,$O464=9),$AP$3,IF(AND(N463=$AQ$5,$O464=9),$AJ$3,IF(AND(N463=$AE$4,$O464=12),$AE$3,IF(AND(N463=$AF$4,$O464=12),$AF$3,IF(AND(N463=$AG$4,$O464=12),$AG$3,IF(AND(N463=$AH$4,$O464=12),$AH$3,IF(AND(N463=$AI$4,$O464=12),$AI$3,IF(AND(N463=$AJ$4,$O464=12),$AJ$3,IF(AND(N463=$AK$4,$O464=12),$AK$3,IF(AND(N463=$AL$4,$O464=12),$AL$3,IF(AND(N463=$AM$4,$O464=12),$AM$3,IF(AND(N463=$AN$4,$O464=12),$AN$3,IF(AND(N463=$AO$4,$O464=12),$AO$3,IF(AND(N463=$AP$4,$O464=12),$AP$3,IF(AND(N463=$AQ$4,$O464=12),$AJ$3," "))))))))))))))))))))))))))</f>
        <v>Year 12</v>
      </c>
      <c r="O462" s="89"/>
      <c r="P462" s="89"/>
      <c r="Q462" s="89"/>
    </row>
    <row r="463" spans="1:23" x14ac:dyDescent="0.35">
      <c r="A463" s="219" t="str">
        <f>+B429</f>
        <v>Co-PI</v>
      </c>
      <c r="B463" s="55" t="str">
        <f t="shared" ref="B463:I463" si="754">+N$2</f>
        <v>FY2023</v>
      </c>
      <c r="C463" s="55" t="str">
        <f t="shared" si="754"/>
        <v>FY2024</v>
      </c>
      <c r="D463" s="55" t="str">
        <f t="shared" si="754"/>
        <v>FY2025</v>
      </c>
      <c r="E463" s="55" t="str">
        <f t="shared" si="754"/>
        <v>FY2026</v>
      </c>
      <c r="F463" s="55" t="str">
        <f t="shared" si="754"/>
        <v>FY2027</v>
      </c>
      <c r="G463" s="55" t="str">
        <f t="shared" si="754"/>
        <v>FY2028</v>
      </c>
      <c r="H463" s="55" t="str">
        <f t="shared" si="754"/>
        <v>FY2029</v>
      </c>
      <c r="I463" s="55" t="str">
        <f t="shared" si="754"/>
        <v>FY2030</v>
      </c>
      <c r="J463" s="55" t="str">
        <f t="shared" ref="J463" si="755">+V$2</f>
        <v>FY2031</v>
      </c>
      <c r="K463" s="55" t="str">
        <f t="shared" ref="K463" si="756">+W$2</f>
        <v>FY2032</v>
      </c>
      <c r="L463" s="55" t="str">
        <f t="shared" ref="L463" si="757">+X$2</f>
        <v>FY2033</v>
      </c>
      <c r="M463" s="55" t="str">
        <f t="shared" ref="M463:N463" si="758">+Y$2</f>
        <v>FY2034</v>
      </c>
      <c r="N463" s="55" t="str">
        <f t="shared" si="758"/>
        <v>FY2035</v>
      </c>
      <c r="O463" s="32" t="s">
        <v>20</v>
      </c>
      <c r="P463" s="89" t="s">
        <v>64</v>
      </c>
      <c r="Q463" s="89"/>
    </row>
    <row r="464" spans="1:23" x14ac:dyDescent="0.35">
      <c r="A464" s="220" t="str">
        <f>CONCATENATE("Base Salary: ",O464," month term")</f>
        <v>Base Salary: 9 month term</v>
      </c>
      <c r="B464" s="385">
        <v>0</v>
      </c>
      <c r="C464" s="386">
        <f t="shared" ref="C464:N464" si="759">ROUND(+B464*(1+$P$464),0)</f>
        <v>0</v>
      </c>
      <c r="D464" s="386">
        <f t="shared" si="759"/>
        <v>0</v>
      </c>
      <c r="E464" s="386">
        <f t="shared" si="759"/>
        <v>0</v>
      </c>
      <c r="F464" s="386">
        <f t="shared" si="759"/>
        <v>0</v>
      </c>
      <c r="G464" s="386">
        <f t="shared" si="759"/>
        <v>0</v>
      </c>
      <c r="H464" s="386">
        <f t="shared" si="759"/>
        <v>0</v>
      </c>
      <c r="I464" s="386">
        <f t="shared" si="759"/>
        <v>0</v>
      </c>
      <c r="J464" s="386">
        <f t="shared" si="759"/>
        <v>0</v>
      </c>
      <c r="K464" s="386">
        <f t="shared" si="759"/>
        <v>0</v>
      </c>
      <c r="L464" s="386">
        <f t="shared" si="759"/>
        <v>0</v>
      </c>
      <c r="M464" s="386">
        <f t="shared" si="759"/>
        <v>0</v>
      </c>
      <c r="N464" s="386">
        <f t="shared" si="759"/>
        <v>0</v>
      </c>
      <c r="O464" s="311">
        <v>9</v>
      </c>
      <c r="P464" s="312">
        <v>0.03</v>
      </c>
      <c r="Q464" s="52"/>
    </row>
    <row r="465" spans="1:32" x14ac:dyDescent="0.35">
      <c r="A465" s="220" t="s">
        <v>44</v>
      </c>
      <c r="B465" s="313">
        <v>0</v>
      </c>
      <c r="C465" s="313">
        <v>0</v>
      </c>
      <c r="D465" s="313">
        <v>0</v>
      </c>
      <c r="E465" s="313">
        <v>0</v>
      </c>
      <c r="F465" s="313">
        <v>0</v>
      </c>
      <c r="G465" s="313">
        <v>0</v>
      </c>
      <c r="H465" s="313">
        <v>0</v>
      </c>
      <c r="I465" s="313">
        <v>0</v>
      </c>
      <c r="J465" s="313">
        <v>0</v>
      </c>
      <c r="K465" s="313">
        <v>0</v>
      </c>
      <c r="L465" s="313">
        <v>0</v>
      </c>
      <c r="M465" s="313">
        <v>0</v>
      </c>
      <c r="N465" s="313">
        <v>0</v>
      </c>
      <c r="O465" s="25"/>
      <c r="P465" s="25"/>
      <c r="Q465" s="223"/>
      <c r="R465" s="42" t="str">
        <f>+O$20</f>
        <v>Graduate Student (Stipend, Tuition, Health Ins) - Endowed College Rates:</v>
      </c>
    </row>
    <row r="466" spans="1:32" x14ac:dyDescent="0.35">
      <c r="A466" s="220" t="str">
        <f>CONCATENATE("FTE for ",O464," Months")</f>
        <v>FTE for 9 Months</v>
      </c>
      <c r="B466" s="395">
        <f t="shared" ref="B466:M466" si="760">+B465/$O464</f>
        <v>0</v>
      </c>
      <c r="C466" s="395">
        <f t="shared" si="760"/>
        <v>0</v>
      </c>
      <c r="D466" s="395">
        <f t="shared" si="760"/>
        <v>0</v>
      </c>
      <c r="E466" s="395">
        <f t="shared" si="760"/>
        <v>0</v>
      </c>
      <c r="F466" s="395">
        <f t="shared" si="760"/>
        <v>0</v>
      </c>
      <c r="G466" s="395">
        <f t="shared" si="760"/>
        <v>0</v>
      </c>
      <c r="H466" s="395">
        <f t="shared" si="760"/>
        <v>0</v>
      </c>
      <c r="I466" s="395">
        <f t="shared" si="760"/>
        <v>0</v>
      </c>
      <c r="J466" s="395">
        <f t="shared" si="760"/>
        <v>0</v>
      </c>
      <c r="K466" s="395">
        <f t="shared" si="760"/>
        <v>0</v>
      </c>
      <c r="L466" s="395">
        <f t="shared" si="760"/>
        <v>0</v>
      </c>
      <c r="M466" s="395">
        <f t="shared" si="760"/>
        <v>0</v>
      </c>
      <c r="N466" s="395">
        <f t="shared" ref="N466" si="761">+N465/$O464</f>
        <v>0</v>
      </c>
      <c r="O466" s="89"/>
      <c r="P466" s="89"/>
      <c r="Q466" s="223"/>
      <c r="R466" s="25"/>
      <c r="S466" s="113" t="str">
        <f>+$P$24</f>
        <v>FY2023</v>
      </c>
      <c r="T466" s="113" t="str">
        <f>+$Q$24</f>
        <v>FY2024</v>
      </c>
      <c r="U466" s="113" t="str">
        <f>+$R$24</f>
        <v>FY2025</v>
      </c>
      <c r="V466" s="113" t="str">
        <f>+$S$24</f>
        <v>FY2026</v>
      </c>
      <c r="W466" s="113" t="str">
        <f>+$T$24</f>
        <v>FY2027</v>
      </c>
      <c r="X466" s="113" t="str">
        <f>+$U$24</f>
        <v>FY2028</v>
      </c>
      <c r="Y466" s="113" t="str">
        <f>+$V$24</f>
        <v>FY2029</v>
      </c>
      <c r="Z466" s="113" t="str">
        <f>+$W$24</f>
        <v>FY2030</v>
      </c>
      <c r="AA466" s="113" t="str">
        <f>+$X$24</f>
        <v>FY2031</v>
      </c>
      <c r="AB466" s="113" t="str">
        <f>+$Y$24</f>
        <v>FY2032</v>
      </c>
      <c r="AC466" s="113" t="str">
        <f>+$Z$24</f>
        <v>FY2033</v>
      </c>
      <c r="AD466" s="113" t="str">
        <f>+$AA$24</f>
        <v>FY2034</v>
      </c>
      <c r="AE466" s="113" t="str">
        <f>+$AB$24</f>
        <v>FY2035</v>
      </c>
      <c r="AF466" s="114" t="s">
        <v>101</v>
      </c>
    </row>
    <row r="467" spans="1:32" x14ac:dyDescent="0.35">
      <c r="A467" s="221" t="s">
        <v>56</v>
      </c>
      <c r="B467" s="396">
        <f>+B465/12</f>
        <v>0</v>
      </c>
      <c r="C467" s="396">
        <f>+C465/12</f>
        <v>0</v>
      </c>
      <c r="D467" s="396">
        <f t="shared" ref="D467" si="762">+D465/12</f>
        <v>0</v>
      </c>
      <c r="E467" s="396">
        <f t="shared" ref="E467:L467" si="763">+E465/12</f>
        <v>0</v>
      </c>
      <c r="F467" s="396">
        <f t="shared" si="763"/>
        <v>0</v>
      </c>
      <c r="G467" s="396">
        <f t="shared" si="763"/>
        <v>0</v>
      </c>
      <c r="H467" s="396">
        <f t="shared" si="763"/>
        <v>0</v>
      </c>
      <c r="I467" s="396">
        <f t="shared" si="763"/>
        <v>0</v>
      </c>
      <c r="J467" s="396">
        <f t="shared" si="763"/>
        <v>0</v>
      </c>
      <c r="K467" s="396">
        <f t="shared" si="763"/>
        <v>0</v>
      </c>
      <c r="L467" s="396">
        <f t="shared" si="763"/>
        <v>0</v>
      </c>
      <c r="M467" s="396">
        <f t="shared" ref="M467:N467" si="764">+M465/12</f>
        <v>0</v>
      </c>
      <c r="N467" s="396">
        <f t="shared" si="764"/>
        <v>0</v>
      </c>
      <c r="O467" s="89"/>
      <c r="P467" s="89"/>
      <c r="Q467" s="223"/>
      <c r="R467" s="30" t="s">
        <v>35</v>
      </c>
      <c r="S467" s="101">
        <f>+$P$25</f>
        <v>30087</v>
      </c>
      <c r="T467" s="101">
        <f>IF(ROUND(S467*(1+$AF467),0)=$Q$25,ROUND(S467*(1+$AF467),0),$Q$25)</f>
        <v>32494.5</v>
      </c>
      <c r="U467" s="101">
        <f t="shared" ref="U467:AE467" si="765">ROUND(T467*(1+$AF467),0)</f>
        <v>35094</v>
      </c>
      <c r="V467" s="101">
        <f t="shared" si="765"/>
        <v>37902</v>
      </c>
      <c r="W467" s="101">
        <f t="shared" si="765"/>
        <v>40934</v>
      </c>
      <c r="X467" s="101">
        <f t="shared" si="765"/>
        <v>44209</v>
      </c>
      <c r="Y467" s="101">
        <f t="shared" si="765"/>
        <v>47746</v>
      </c>
      <c r="Z467" s="101">
        <f t="shared" si="765"/>
        <v>51566</v>
      </c>
      <c r="AA467" s="101">
        <f t="shared" si="765"/>
        <v>55691</v>
      </c>
      <c r="AB467" s="101">
        <f t="shared" si="765"/>
        <v>60146</v>
      </c>
      <c r="AC467" s="101">
        <f t="shared" si="765"/>
        <v>64958</v>
      </c>
      <c r="AD467" s="101">
        <f t="shared" si="765"/>
        <v>70155</v>
      </c>
      <c r="AE467" s="101">
        <f t="shared" si="765"/>
        <v>75767</v>
      </c>
      <c r="AF467" s="31">
        <v>0.08</v>
      </c>
    </row>
    <row r="468" spans="1:32" x14ac:dyDescent="0.35">
      <c r="A468" s="220" t="s">
        <v>21</v>
      </c>
      <c r="B468" s="110">
        <f t="shared" ref="B468:K468" si="766">IF($O464=9,ROUND(B464*B466,0),IF($O464=12,ROUND((B464*B466*$Q$35)+(C464*B466*$Q$36),0),0))</f>
        <v>0</v>
      </c>
      <c r="C468" s="110">
        <f t="shared" si="766"/>
        <v>0</v>
      </c>
      <c r="D468" s="110">
        <f t="shared" si="766"/>
        <v>0</v>
      </c>
      <c r="E468" s="110">
        <f t="shared" si="766"/>
        <v>0</v>
      </c>
      <c r="F468" s="110">
        <f t="shared" si="766"/>
        <v>0</v>
      </c>
      <c r="G468" s="110">
        <f t="shared" si="766"/>
        <v>0</v>
      </c>
      <c r="H468" s="110">
        <f t="shared" si="766"/>
        <v>0</v>
      </c>
      <c r="I468" s="110">
        <f t="shared" si="766"/>
        <v>0</v>
      </c>
      <c r="J468" s="110">
        <f t="shared" si="766"/>
        <v>0</v>
      </c>
      <c r="K468" s="110">
        <f t="shared" si="766"/>
        <v>0</v>
      </c>
      <c r="L468" s="110">
        <f>IF($O464=9,ROUND(L464*L466,0),IF($O464=12,ROUND((L464*L466*$Q$35)+(N464*L466*$Q$36),0),0))</f>
        <v>0</v>
      </c>
      <c r="M468" s="110">
        <f>IF($O464=9,ROUND(M464*M466,0),IF($O464=12,ROUND((M464*M466*$Q$35)+(O464*M466*$Q$36),0),0))</f>
        <v>0</v>
      </c>
      <c r="N468" s="110">
        <f>IF($O464=9,ROUND(N464*N466,0),IF($O464=12,ROUND((N464*N466*$Q$35)+(P464*N466*$Q$36),0),0))</f>
        <v>0</v>
      </c>
      <c r="O468" s="89"/>
      <c r="P468" s="89"/>
      <c r="Q468" s="223"/>
      <c r="R468" s="30" t="s">
        <v>23</v>
      </c>
      <c r="S468" s="101">
        <f>+$P$26</f>
        <v>10029</v>
      </c>
      <c r="T468" s="101">
        <f>IF(ROUND(S468*(1+$AF468),0)=$Q$26,ROUND(S468*(1+$AF468),0),$Q$26)</f>
        <v>10831.5</v>
      </c>
      <c r="U468" s="101">
        <f t="shared" ref="U468:AE468" si="767">ROUND(T468*(1+$AF468),0)</f>
        <v>11698</v>
      </c>
      <c r="V468" s="101">
        <f t="shared" si="767"/>
        <v>12634</v>
      </c>
      <c r="W468" s="101">
        <f t="shared" si="767"/>
        <v>13645</v>
      </c>
      <c r="X468" s="101">
        <f t="shared" si="767"/>
        <v>14737</v>
      </c>
      <c r="Y468" s="101">
        <f t="shared" si="767"/>
        <v>15916</v>
      </c>
      <c r="Z468" s="101">
        <f t="shared" si="767"/>
        <v>17189</v>
      </c>
      <c r="AA468" s="101">
        <f t="shared" si="767"/>
        <v>18564</v>
      </c>
      <c r="AB468" s="101">
        <f t="shared" si="767"/>
        <v>20049</v>
      </c>
      <c r="AC468" s="101">
        <f t="shared" si="767"/>
        <v>21653</v>
      </c>
      <c r="AD468" s="101">
        <f t="shared" si="767"/>
        <v>23385</v>
      </c>
      <c r="AE468" s="101">
        <f t="shared" si="767"/>
        <v>25256</v>
      </c>
      <c r="AF468" s="66">
        <v>0.08</v>
      </c>
    </row>
    <row r="469" spans="1:32" x14ac:dyDescent="0.35">
      <c r="A469" s="220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89"/>
      <c r="P469" s="89"/>
      <c r="Q469" s="223"/>
      <c r="R469" s="30" t="s">
        <v>30</v>
      </c>
      <c r="S469" s="101">
        <f>+$P$27</f>
        <v>40116</v>
      </c>
      <c r="T469" s="101">
        <f>+T467+T468</f>
        <v>43326</v>
      </c>
      <c r="U469" s="101">
        <f t="shared" ref="U469:AD469" si="768">+U467+U468</f>
        <v>46792</v>
      </c>
      <c r="V469" s="101">
        <f t="shared" si="768"/>
        <v>50536</v>
      </c>
      <c r="W469" s="101">
        <f t="shared" si="768"/>
        <v>54579</v>
      </c>
      <c r="X469" s="101">
        <f t="shared" si="768"/>
        <v>58946</v>
      </c>
      <c r="Y469" s="101">
        <f t="shared" si="768"/>
        <v>63662</v>
      </c>
      <c r="Z469" s="101">
        <f t="shared" si="768"/>
        <v>68755</v>
      </c>
      <c r="AA469" s="101">
        <f t="shared" si="768"/>
        <v>74255</v>
      </c>
      <c r="AB469" s="101">
        <f t="shared" si="768"/>
        <v>80195</v>
      </c>
      <c r="AC469" s="101">
        <f t="shared" si="768"/>
        <v>86611</v>
      </c>
      <c r="AD469" s="101">
        <f t="shared" si="768"/>
        <v>93540</v>
      </c>
      <c r="AE469" s="101">
        <f t="shared" ref="AE469" si="769">+AE467+AE468</f>
        <v>101023</v>
      </c>
      <c r="AF469" s="31"/>
    </row>
    <row r="470" spans="1:32" x14ac:dyDescent="0.35">
      <c r="A470" s="220"/>
      <c r="B470" s="104" t="str">
        <f t="shared" ref="B470:L470" si="770">IF(AND(B471=$AE$5,$O472=9),$AE$3,IF(AND(B471=$AF$5,$O472=9),$AF$3,IF(AND(B471=$AG$5,$O472=9),$AG$3,IF(AND(B471=$AH$5,$O472=9),$AH$3,IF(AND(B471=$AI$5,$O472=9),$AI$3,IF(AND(B471=$AJ$5,$O472=9),$AJ$3,IF(AND(B471=$AK$5,$O472=9),$AK$3,IF(AND(B471=$AL$5,$O472=9),$AL$3,IF(AND(B471=$AM$5,$O472=9),$AM$3,IF(AND(B471=$AN$5,$O472=9),$AN$3,IF(AND(B471=$AO$5,$O472=9),$AO$3,IF(AND(B471=$AP$5,$O472=9),$AJ$3,IF(AND(B471=$AE$4,$O472=12),$AE$3,IF(AND(B471=$AF$4,$O472=12),$AF$3,IF(AND(B471=$AG$4,$O472=12),$AG$3,IF(AND(B471=$AH$4,$O472=12),$AH$3,IF(AND(B471=$AI$4,$O472=12),$AI$3,IF(AND(B471=$AJ$4,$O472=12),$AJ$3,IF(AND(B471=$AK$4,$O472=12),$AK$3,IF(AND(B471=$AL$4,$O472=12),$AL$3,IF(AND(B471=$AM$4,$O472=12),$AM$3,IF(AND(B471=$AN$4,$O472=12),$AN$3,IF(AND(B471=$AO$4,$O472=12),$AO$3,IF(AND(B471=$AP$4,$O472=12),$AJ$3," "))))))))))))))))))))))))</f>
        <v xml:space="preserve"> </v>
      </c>
      <c r="C470" s="104" t="str">
        <f t="shared" si="770"/>
        <v>Year 1</v>
      </c>
      <c r="D470" s="104" t="str">
        <f t="shared" si="770"/>
        <v>Year 2</v>
      </c>
      <c r="E470" s="104" t="str">
        <f t="shared" si="770"/>
        <v>Year 3</v>
      </c>
      <c r="F470" s="104" t="str">
        <f t="shared" si="770"/>
        <v>Year 4</v>
      </c>
      <c r="G470" s="104" t="str">
        <f t="shared" si="770"/>
        <v>Year 5</v>
      </c>
      <c r="H470" s="104" t="str">
        <f t="shared" si="770"/>
        <v>Year 6</v>
      </c>
      <c r="I470" s="104" t="str">
        <f t="shared" si="770"/>
        <v>Year 7</v>
      </c>
      <c r="J470" s="104" t="str">
        <f t="shared" si="770"/>
        <v>Year 8</v>
      </c>
      <c r="K470" s="104" t="str">
        <f t="shared" si="770"/>
        <v>Year 9</v>
      </c>
      <c r="L470" s="104" t="str">
        <f t="shared" si="770"/>
        <v>Year 10</v>
      </c>
      <c r="M470" s="104" t="str">
        <f t="shared" ref="M470" si="771">IF(AND(M471=$AE$5,$O472=9),$AE$3,IF(AND(M471=$AF$5,$O472=9),$AF$3,IF(AND(M471=$AG$5,$O472=9),$AG$3,IF(AND(M471=$AH$5,$O472=9),$AH$3,IF(AND(M471=$AI$5,$O472=9),$AI$3,IF(AND(M471=$AJ$5,$O472=9),$AJ$3,IF(AND(M471=$AK$5,$O472=9),$AK$3,IF(AND(M471=$AL$5,$O472=9),$AL$3,IF(AND(M471=$AM$5,$O472=9),$AM$3,IF(AND(M471=$AN$5,$O472=9),$AN$3,IF(AND(M471=$AO$5,$O472=9),$AO$3,IF(AND(M471=$AP$5,$O472=9),$AJ$3,IF(AND(M471=$AE$4,$O472=12),$AE$3,IF(AND(M471=$AF$4,$O472=12),$AF$3,IF(AND(M471=$AG$4,$O472=12),$AG$3,IF(AND(M471=$AH$4,$O472=12),$AH$3,IF(AND(M471=$AI$4,$O472=12),$AI$3,IF(AND(M471=$AJ$4,$O472=12),$AJ$3,IF(AND(M471=$AK$4,$O472=12),$AK$3,IF(AND(M471=$AL$4,$O472=12),$AL$3,IF(AND(M471=$AM$4,$O472=12),$AM$3,IF(AND(M471=$AN$4,$O472=12),$AN$3,IF(AND(M471=$AO$4,$O472=12),$AO$3,IF(AND(M471=$AP$4,$O472=12),$AJ$3," "))))))))))))))))))))))))</f>
        <v>Year 11</v>
      </c>
      <c r="N470" s="104"/>
      <c r="O470" s="89"/>
      <c r="P470" s="89"/>
      <c r="Q470" s="223"/>
      <c r="R470" s="30" t="s">
        <v>8</v>
      </c>
      <c r="S470" s="101">
        <f>IF(B430="Contract College",$P$28,$P$29)</f>
        <v>14750</v>
      </c>
      <c r="T470" s="101">
        <f t="shared" ref="T470:AE470" si="772">ROUND(S470*(1+$AF470),0)</f>
        <v>14750</v>
      </c>
      <c r="U470" s="101">
        <f t="shared" si="772"/>
        <v>14750</v>
      </c>
      <c r="V470" s="101">
        <f t="shared" si="772"/>
        <v>14750</v>
      </c>
      <c r="W470" s="101">
        <f t="shared" si="772"/>
        <v>14750</v>
      </c>
      <c r="X470" s="101">
        <f t="shared" si="772"/>
        <v>14750</v>
      </c>
      <c r="Y470" s="101">
        <f t="shared" si="772"/>
        <v>14750</v>
      </c>
      <c r="Z470" s="101">
        <f t="shared" si="772"/>
        <v>14750</v>
      </c>
      <c r="AA470" s="101">
        <f t="shared" si="772"/>
        <v>14750</v>
      </c>
      <c r="AB470" s="101">
        <f t="shared" si="772"/>
        <v>14750</v>
      </c>
      <c r="AC470" s="101">
        <f t="shared" si="772"/>
        <v>14750</v>
      </c>
      <c r="AD470" s="101">
        <f t="shared" si="772"/>
        <v>14750</v>
      </c>
      <c r="AE470" s="101">
        <f t="shared" si="772"/>
        <v>14750</v>
      </c>
      <c r="AF470" s="31">
        <v>0</v>
      </c>
    </row>
    <row r="471" spans="1:32" x14ac:dyDescent="0.35">
      <c r="A471" s="219" t="s">
        <v>102</v>
      </c>
      <c r="B471" s="55" t="str">
        <f t="shared" ref="B471:I471" si="773">+N$2</f>
        <v>FY2023</v>
      </c>
      <c r="C471" s="55" t="str">
        <f t="shared" si="773"/>
        <v>FY2024</v>
      </c>
      <c r="D471" s="55" t="str">
        <f t="shared" si="773"/>
        <v>FY2025</v>
      </c>
      <c r="E471" s="55" t="str">
        <f t="shared" si="773"/>
        <v>FY2026</v>
      </c>
      <c r="F471" s="55" t="str">
        <f t="shared" si="773"/>
        <v>FY2027</v>
      </c>
      <c r="G471" s="55" t="str">
        <f t="shared" si="773"/>
        <v>FY2028</v>
      </c>
      <c r="H471" s="55" t="str">
        <f t="shared" si="773"/>
        <v>FY2029</v>
      </c>
      <c r="I471" s="55" t="str">
        <f t="shared" si="773"/>
        <v>FY2030</v>
      </c>
      <c r="J471" s="55" t="str">
        <f t="shared" ref="J471" si="774">+V$2</f>
        <v>FY2031</v>
      </c>
      <c r="K471" s="55" t="str">
        <f t="shared" ref="K471:M471" si="775">+W$2</f>
        <v>FY2032</v>
      </c>
      <c r="L471" s="55" t="str">
        <f t="shared" si="775"/>
        <v>FY2033</v>
      </c>
      <c r="M471" s="55" t="str">
        <f t="shared" si="775"/>
        <v>FY2034</v>
      </c>
      <c r="N471" s="55"/>
      <c r="O471" s="32" t="s">
        <v>20</v>
      </c>
      <c r="P471" s="89" t="s">
        <v>64</v>
      </c>
      <c r="Q471" s="223"/>
      <c r="R471" s="30" t="s">
        <v>24</v>
      </c>
      <c r="S471" s="101">
        <f>+$P$30</f>
        <v>4046</v>
      </c>
      <c r="T471" s="101">
        <f>IF(ROUND(S471*(1+$AF471),0)=$Q$30,ROUND(S471*(1+$AF471),0),$Q$30)</f>
        <v>4451</v>
      </c>
      <c r="U471" s="101">
        <f t="shared" ref="U471:AE471" si="776">ROUND(T471*(1+$AF471),0)</f>
        <v>4896</v>
      </c>
      <c r="V471" s="101">
        <f t="shared" si="776"/>
        <v>5386</v>
      </c>
      <c r="W471" s="101">
        <f t="shared" si="776"/>
        <v>5925</v>
      </c>
      <c r="X471" s="101">
        <f t="shared" si="776"/>
        <v>6518</v>
      </c>
      <c r="Y471" s="101">
        <f t="shared" si="776"/>
        <v>7170</v>
      </c>
      <c r="Z471" s="101">
        <f t="shared" si="776"/>
        <v>7887</v>
      </c>
      <c r="AA471" s="101">
        <f t="shared" si="776"/>
        <v>8676</v>
      </c>
      <c r="AB471" s="101">
        <f t="shared" si="776"/>
        <v>9544</v>
      </c>
      <c r="AC471" s="101">
        <f t="shared" si="776"/>
        <v>10498</v>
      </c>
      <c r="AD471" s="101">
        <f t="shared" si="776"/>
        <v>11548</v>
      </c>
      <c r="AE471" s="101">
        <f t="shared" si="776"/>
        <v>12703</v>
      </c>
      <c r="AF471" s="31">
        <v>0.1</v>
      </c>
    </row>
    <row r="472" spans="1:32" x14ac:dyDescent="0.35">
      <c r="A472" s="220" t="str">
        <f>CONCATENATE("Base Salary: ",O472," month term")</f>
        <v>Base Salary: 12 month term</v>
      </c>
      <c r="B472" s="62">
        <v>53760</v>
      </c>
      <c r="C472" s="109">
        <f t="shared" ref="C472:M472" si="777">ROUND(+B472*(1+$P$472),0)</f>
        <v>55373</v>
      </c>
      <c r="D472" s="109">
        <f t="shared" si="777"/>
        <v>57034</v>
      </c>
      <c r="E472" s="109">
        <f t="shared" si="777"/>
        <v>58745</v>
      </c>
      <c r="F472" s="109">
        <f t="shared" si="777"/>
        <v>60507</v>
      </c>
      <c r="G472" s="109">
        <f t="shared" si="777"/>
        <v>62322</v>
      </c>
      <c r="H472" s="109">
        <f t="shared" si="777"/>
        <v>64192</v>
      </c>
      <c r="I472" s="109">
        <f t="shared" si="777"/>
        <v>66118</v>
      </c>
      <c r="J472" s="109">
        <f t="shared" si="777"/>
        <v>68102</v>
      </c>
      <c r="K472" s="109">
        <f t="shared" si="777"/>
        <v>70145</v>
      </c>
      <c r="L472" s="109">
        <f t="shared" si="777"/>
        <v>72249</v>
      </c>
      <c r="M472" s="109">
        <f t="shared" si="777"/>
        <v>74416</v>
      </c>
      <c r="N472" s="109"/>
      <c r="O472" s="319">
        <v>12</v>
      </c>
      <c r="P472" s="320">
        <v>0.03</v>
      </c>
      <c r="Q472" s="223"/>
      <c r="Y472" s="23"/>
    </row>
    <row r="473" spans="1:32" x14ac:dyDescent="0.35">
      <c r="A473" s="220" t="s">
        <v>44</v>
      </c>
      <c r="B473" s="313">
        <v>0</v>
      </c>
      <c r="C473" s="313">
        <v>0</v>
      </c>
      <c r="D473" s="313">
        <v>0</v>
      </c>
      <c r="E473" s="313">
        <v>0</v>
      </c>
      <c r="F473" s="313">
        <v>0</v>
      </c>
      <c r="G473" s="313">
        <v>0</v>
      </c>
      <c r="H473" s="313">
        <v>0</v>
      </c>
      <c r="I473" s="313">
        <v>0</v>
      </c>
      <c r="J473" s="313">
        <v>0</v>
      </c>
      <c r="K473" s="313">
        <v>0</v>
      </c>
      <c r="L473" s="313">
        <v>0</v>
      </c>
      <c r="M473" s="313">
        <v>0</v>
      </c>
      <c r="N473" s="402"/>
      <c r="O473" s="25"/>
      <c r="P473" s="25"/>
      <c r="Q473" s="223"/>
      <c r="R473" s="116"/>
      <c r="Y473" s="23"/>
    </row>
    <row r="474" spans="1:32" x14ac:dyDescent="0.35">
      <c r="A474" s="220" t="str">
        <f>CONCATENATE("FTE for ",O472," Months")</f>
        <v>FTE for 12 Months</v>
      </c>
      <c r="B474" s="395">
        <f t="shared" ref="B474:L474" si="778">+B473/$O472</f>
        <v>0</v>
      </c>
      <c r="C474" s="395">
        <f t="shared" si="778"/>
        <v>0</v>
      </c>
      <c r="D474" s="395">
        <f t="shared" si="778"/>
        <v>0</v>
      </c>
      <c r="E474" s="395">
        <f t="shared" si="778"/>
        <v>0</v>
      </c>
      <c r="F474" s="395">
        <f t="shared" si="778"/>
        <v>0</v>
      </c>
      <c r="G474" s="395">
        <f t="shared" si="778"/>
        <v>0</v>
      </c>
      <c r="H474" s="395">
        <f t="shared" si="778"/>
        <v>0</v>
      </c>
      <c r="I474" s="395">
        <f t="shared" si="778"/>
        <v>0</v>
      </c>
      <c r="J474" s="395">
        <f t="shared" si="778"/>
        <v>0</v>
      </c>
      <c r="K474" s="395">
        <f t="shared" si="778"/>
        <v>0</v>
      </c>
      <c r="L474" s="395">
        <f t="shared" si="778"/>
        <v>0</v>
      </c>
      <c r="M474" s="395">
        <f t="shared" ref="M474" si="779">+M473/$O472</f>
        <v>0</v>
      </c>
      <c r="N474" s="403"/>
      <c r="O474" s="89"/>
      <c r="P474" s="89"/>
      <c r="Q474" s="223"/>
      <c r="S474" s="53" t="str">
        <f t="shared" ref="S474:AC474" si="780">+S393</f>
        <v>Fall 2023</v>
      </c>
      <c r="T474" s="53" t="str">
        <f t="shared" si="780"/>
        <v>Fall 2024</v>
      </c>
      <c r="U474" s="53" t="str">
        <f t="shared" si="780"/>
        <v>Fall 2025</v>
      </c>
      <c r="V474" s="53" t="str">
        <f t="shared" si="780"/>
        <v>Fall 2026</v>
      </c>
      <c r="W474" s="53" t="str">
        <f t="shared" si="780"/>
        <v>Fall 2027</v>
      </c>
      <c r="X474" s="53" t="str">
        <f t="shared" si="780"/>
        <v>Fall 2028</v>
      </c>
      <c r="Y474" s="53" t="str">
        <f t="shared" si="780"/>
        <v>Fall 2029</v>
      </c>
      <c r="Z474" s="53" t="str">
        <f t="shared" si="780"/>
        <v>Fall 2030</v>
      </c>
      <c r="AA474" s="53" t="str">
        <f t="shared" si="780"/>
        <v>Fall 2031</v>
      </c>
      <c r="AB474" s="53" t="str">
        <f t="shared" si="780"/>
        <v>Fall 2032</v>
      </c>
      <c r="AC474" s="53" t="str">
        <f t="shared" si="780"/>
        <v>Fall 2033</v>
      </c>
      <c r="AD474" s="53" t="str">
        <f t="shared" ref="AD474" si="781">+AD393</f>
        <v>Fall 2034</v>
      </c>
    </row>
    <row r="475" spans="1:32" x14ac:dyDescent="0.35">
      <c r="A475" s="220" t="s">
        <v>21</v>
      </c>
      <c r="B475" s="110">
        <f t="shared" ref="B475:K475" si="782">ROUND((B472*B474*$Q$35)+(C472*B474*$Q$36),0)</f>
        <v>0</v>
      </c>
      <c r="C475" s="110">
        <f t="shared" si="782"/>
        <v>0</v>
      </c>
      <c r="D475" s="110">
        <f t="shared" si="782"/>
        <v>0</v>
      </c>
      <c r="E475" s="110">
        <f t="shared" si="782"/>
        <v>0</v>
      </c>
      <c r="F475" s="110">
        <f t="shared" si="782"/>
        <v>0</v>
      </c>
      <c r="G475" s="110">
        <f t="shared" si="782"/>
        <v>0</v>
      </c>
      <c r="H475" s="110">
        <f t="shared" si="782"/>
        <v>0</v>
      </c>
      <c r="I475" s="110">
        <f t="shared" si="782"/>
        <v>0</v>
      </c>
      <c r="J475" s="110">
        <f t="shared" si="782"/>
        <v>0</v>
      </c>
      <c r="K475" s="110">
        <f t="shared" si="782"/>
        <v>0</v>
      </c>
      <c r="L475" s="110">
        <f>ROUND((L472*L474*$Q$35)+(N472*L474*$Q$36),0)</f>
        <v>0</v>
      </c>
      <c r="M475" s="110">
        <f>ROUND((M472*M474*$Q$35)+(O472*M474*$Q$36),0)</f>
        <v>0</v>
      </c>
      <c r="N475" s="404"/>
      <c r="O475" s="89"/>
      <c r="P475" s="89"/>
      <c r="Q475" s="223"/>
      <c r="S475" s="53" t="str">
        <f t="shared" ref="S475:AC475" si="783">+S394</f>
        <v>Spring 2024</v>
      </c>
      <c r="T475" s="53" t="str">
        <f t="shared" si="783"/>
        <v>Spring 2025</v>
      </c>
      <c r="U475" s="53" t="str">
        <f t="shared" si="783"/>
        <v>Spring 2026</v>
      </c>
      <c r="V475" s="53" t="str">
        <f t="shared" si="783"/>
        <v>Spring 2027</v>
      </c>
      <c r="W475" s="53" t="str">
        <f t="shared" si="783"/>
        <v>Spring 2028</v>
      </c>
      <c r="X475" s="53" t="str">
        <f t="shared" si="783"/>
        <v>Spring 2029</v>
      </c>
      <c r="Y475" s="53" t="str">
        <f t="shared" si="783"/>
        <v>Spring 2030</v>
      </c>
      <c r="Z475" s="53" t="str">
        <f t="shared" si="783"/>
        <v>Spring 2031</v>
      </c>
      <c r="AA475" s="53" t="str">
        <f t="shared" si="783"/>
        <v>Spring 2032</v>
      </c>
      <c r="AB475" s="53" t="str">
        <f t="shared" si="783"/>
        <v>Spring 2033</v>
      </c>
      <c r="AC475" s="53" t="str">
        <f t="shared" si="783"/>
        <v>Spring 2034</v>
      </c>
      <c r="AD475" s="53" t="str">
        <f t="shared" ref="AD475" si="784">+AD394</f>
        <v>Spring 2035</v>
      </c>
    </row>
    <row r="476" spans="1:32" x14ac:dyDescent="0.35">
      <c r="A476" s="220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6"/>
      <c r="P476" s="26"/>
      <c r="Q476" s="224"/>
      <c r="S476" s="53" t="str">
        <f t="shared" ref="S476:AC476" si="785">+S395</f>
        <v>Summer 2024</v>
      </c>
      <c r="T476" s="53" t="str">
        <f t="shared" si="785"/>
        <v>Summer 2025</v>
      </c>
      <c r="U476" s="53" t="str">
        <f t="shared" si="785"/>
        <v>Summer 2026</v>
      </c>
      <c r="V476" s="53" t="str">
        <f t="shared" si="785"/>
        <v>Summer 2027</v>
      </c>
      <c r="W476" s="53" t="str">
        <f t="shared" si="785"/>
        <v>Summer 2028</v>
      </c>
      <c r="X476" s="53" t="str">
        <f t="shared" si="785"/>
        <v>Summer 2029</v>
      </c>
      <c r="Y476" s="53" t="str">
        <f t="shared" si="785"/>
        <v>Summer 2030</v>
      </c>
      <c r="Z476" s="53" t="str">
        <f t="shared" si="785"/>
        <v>Summer 2031</v>
      </c>
      <c r="AA476" s="53" t="str">
        <f t="shared" si="785"/>
        <v>Summer 2032</v>
      </c>
      <c r="AB476" s="53" t="str">
        <f t="shared" si="785"/>
        <v>Summer 2033</v>
      </c>
      <c r="AC476" s="53" t="str">
        <f t="shared" si="785"/>
        <v>Summer 2034</v>
      </c>
      <c r="AD476" s="53" t="str">
        <f t="shared" ref="AD476" si="786">+AD395</f>
        <v>Summer 2035</v>
      </c>
    </row>
    <row r="477" spans="1:32" x14ac:dyDescent="0.35">
      <c r="A477" s="220"/>
      <c r="B477" s="104" t="str">
        <f t="shared" ref="B477:L477" si="787">IF(AND(B478=$AE$5,$O479=9),$AE$3,IF(AND(B478=$AF$5,$O479=9),$AF$3,IF(AND(B478=$AG$5,$O479=9),$AG$3,IF(AND(B478=$AH$5,$O479=9),$AH$3,IF(AND(B478=$AI$5,$O479=9),$AI$3,IF(AND(B478=$AJ$5,$O479=9),$AJ$3,IF(AND(B478=$AK$5,$O479=9),$AK$3,IF(AND(B478=$AL$5,$O479=9),$AL$3,IF(AND(B478=$AM$5,$O479=9),$AM$3,IF(AND(B478=$AN$5,$O479=9),$AN$3,IF(AND(B478=$AO$5,$O479=9),$AO$3,IF(AND(B478=$AP$5,$O479=9),$AJ$3,IF(AND(B478=$AE$4,$O479=12),$AE$3,IF(AND(B478=$AF$4,$O479=12),$AF$3,IF(AND(B478=$AG$4,$O479=12),$AG$3,IF(AND(B478=$AH$4,$O479=12),$AH$3,IF(AND(B478=$AI$4,$O479=12),$AI$3,IF(AND(B478=$AJ$4,$O479=12),$AJ$3,IF(AND(B478=$AK$4,$O479=12),$AK$3,IF(AND(B478=$AL$4,$O479=12),$AL$3,IF(AND(B478=$AM$4,$O479=12),$AM$3,IF(AND(B478=$AN$4,$O479=12),$AN$3,IF(AND(B478=$AO$4,$O479=12),$AO$3,IF(AND(B478=$AP$4,$O479=12),$AJ$3," "))))))))))))))))))))))))</f>
        <v xml:space="preserve"> </v>
      </c>
      <c r="C477" s="104" t="str">
        <f t="shared" si="787"/>
        <v>Year 1</v>
      </c>
      <c r="D477" s="104" t="str">
        <f t="shared" si="787"/>
        <v>Year 2</v>
      </c>
      <c r="E477" s="104" t="str">
        <f t="shared" si="787"/>
        <v>Year 3</v>
      </c>
      <c r="F477" s="104" t="str">
        <f t="shared" si="787"/>
        <v>Year 4</v>
      </c>
      <c r="G477" s="104" t="str">
        <f t="shared" si="787"/>
        <v>Year 5</v>
      </c>
      <c r="H477" s="104" t="str">
        <f t="shared" si="787"/>
        <v>Year 6</v>
      </c>
      <c r="I477" s="104" t="str">
        <f t="shared" si="787"/>
        <v>Year 7</v>
      </c>
      <c r="J477" s="104" t="str">
        <f t="shared" si="787"/>
        <v>Year 8</v>
      </c>
      <c r="K477" s="104" t="str">
        <f t="shared" si="787"/>
        <v>Year 9</v>
      </c>
      <c r="L477" s="104" t="str">
        <f t="shared" si="787"/>
        <v>Year 10</v>
      </c>
      <c r="M477" s="104" t="str">
        <f t="shared" ref="M477" si="788">IF(AND(M478=$AE$5,$O479=9),$AE$3,IF(AND(M478=$AF$5,$O479=9),$AF$3,IF(AND(M478=$AG$5,$O479=9),$AG$3,IF(AND(M478=$AH$5,$O479=9),$AH$3,IF(AND(M478=$AI$5,$O479=9),$AI$3,IF(AND(M478=$AJ$5,$O479=9),$AJ$3,IF(AND(M478=$AK$5,$O479=9),$AK$3,IF(AND(M478=$AL$5,$O479=9),$AL$3,IF(AND(M478=$AM$5,$O479=9),$AM$3,IF(AND(M478=$AN$5,$O479=9),$AN$3,IF(AND(M478=$AO$5,$O479=9),$AO$3,IF(AND(M478=$AP$5,$O479=9),$AJ$3,IF(AND(M478=$AE$4,$O479=12),$AE$3,IF(AND(M478=$AF$4,$O479=12),$AF$3,IF(AND(M478=$AG$4,$O479=12),$AG$3,IF(AND(M478=$AH$4,$O479=12),$AH$3,IF(AND(M478=$AI$4,$O479=12),$AI$3,IF(AND(M478=$AJ$4,$O479=12),$AJ$3,IF(AND(M478=$AK$4,$O479=12),$AK$3,IF(AND(M478=$AL$4,$O479=12),$AL$3,IF(AND(M478=$AM$4,$O479=12),$AM$3,IF(AND(M478=$AN$4,$O479=12),$AN$3,IF(AND(M478=$AO$4,$O479=12),$AO$3,IF(AND(M478=$AP$4,$O479=12),$AJ$3," "))))))))))))))))))))))))</f>
        <v>Year 11</v>
      </c>
      <c r="N477" s="104"/>
      <c r="O477" s="26"/>
      <c r="P477" s="26"/>
      <c r="Q477" s="224"/>
      <c r="S477" s="34" t="str">
        <f t="shared" ref="S477:AC477" si="789">+S396</f>
        <v>FY2024</v>
      </c>
      <c r="T477" s="34" t="str">
        <f t="shared" si="789"/>
        <v>FY2025</v>
      </c>
      <c r="U477" s="34" t="str">
        <f t="shared" si="789"/>
        <v>FY2026</v>
      </c>
      <c r="V477" s="34" t="str">
        <f t="shared" si="789"/>
        <v>FY2027</v>
      </c>
      <c r="W477" s="34" t="str">
        <f t="shared" si="789"/>
        <v>FY2028</v>
      </c>
      <c r="X477" s="34" t="str">
        <f t="shared" si="789"/>
        <v>FY2029</v>
      </c>
      <c r="Y477" s="34" t="str">
        <f t="shared" si="789"/>
        <v>FY2030</v>
      </c>
      <c r="Z477" s="34" t="str">
        <f t="shared" si="789"/>
        <v>FY2031</v>
      </c>
      <c r="AA477" s="34" t="str">
        <f t="shared" si="789"/>
        <v>FY2032</v>
      </c>
      <c r="AB477" s="34" t="str">
        <f t="shared" si="789"/>
        <v>FY2033</v>
      </c>
      <c r="AC477" s="34" t="str">
        <f t="shared" si="789"/>
        <v>FY2034</v>
      </c>
      <c r="AD477" s="34" t="str">
        <f t="shared" ref="AD477" si="790">+AD396</f>
        <v>FY2035</v>
      </c>
    </row>
    <row r="478" spans="1:32" ht="15" thickBot="1" x14ac:dyDescent="0.4">
      <c r="A478" s="219" t="s">
        <v>74</v>
      </c>
      <c r="B478" s="55" t="str">
        <f t="shared" ref="B478:I478" si="791">+N$2</f>
        <v>FY2023</v>
      </c>
      <c r="C478" s="55" t="str">
        <f t="shared" si="791"/>
        <v>FY2024</v>
      </c>
      <c r="D478" s="55" t="str">
        <f t="shared" si="791"/>
        <v>FY2025</v>
      </c>
      <c r="E478" s="55" t="str">
        <f t="shared" si="791"/>
        <v>FY2026</v>
      </c>
      <c r="F478" s="55" t="str">
        <f t="shared" si="791"/>
        <v>FY2027</v>
      </c>
      <c r="G478" s="55" t="str">
        <f t="shared" si="791"/>
        <v>FY2028</v>
      </c>
      <c r="H478" s="55" t="str">
        <f t="shared" si="791"/>
        <v>FY2029</v>
      </c>
      <c r="I478" s="55" t="str">
        <f t="shared" si="791"/>
        <v>FY2030</v>
      </c>
      <c r="J478" s="55" t="str">
        <f t="shared" ref="J478" si="792">+V$2</f>
        <v>FY2031</v>
      </c>
      <c r="K478" s="55" t="str">
        <f t="shared" ref="K478:M478" si="793">+W$2</f>
        <v>FY2032</v>
      </c>
      <c r="L478" s="55" t="str">
        <f t="shared" si="793"/>
        <v>FY2033</v>
      </c>
      <c r="M478" s="55" t="str">
        <f t="shared" si="793"/>
        <v>FY2034</v>
      </c>
      <c r="N478" s="55"/>
      <c r="O478" s="32" t="s">
        <v>20</v>
      </c>
      <c r="P478" s="89" t="s">
        <v>64</v>
      </c>
      <c r="Q478" s="223"/>
      <c r="R478" s="35" t="s">
        <v>71</v>
      </c>
      <c r="S478" s="50" t="s">
        <v>1</v>
      </c>
      <c r="T478" s="51" t="s">
        <v>2</v>
      </c>
      <c r="U478" s="51" t="s">
        <v>3</v>
      </c>
      <c r="V478" s="51" t="s">
        <v>39</v>
      </c>
      <c r="W478" s="51" t="s">
        <v>45</v>
      </c>
      <c r="X478" s="51" t="s">
        <v>185</v>
      </c>
      <c r="Y478" s="51" t="s">
        <v>186</v>
      </c>
      <c r="Z478" s="51" t="s">
        <v>187</v>
      </c>
      <c r="AA478" s="51" t="s">
        <v>188</v>
      </c>
      <c r="AB478" s="51" t="s">
        <v>189</v>
      </c>
      <c r="AC478" s="51" t="s">
        <v>190</v>
      </c>
      <c r="AD478" s="51" t="s">
        <v>191</v>
      </c>
    </row>
    <row r="479" spans="1:32" x14ac:dyDescent="0.35">
      <c r="A479" s="220" t="str">
        <f>CONCATENATE("Base Salary: ",O479," month term")</f>
        <v>Base Salary: 12 month term</v>
      </c>
      <c r="B479" s="314">
        <v>47476</v>
      </c>
      <c r="C479" s="109">
        <f>B479</f>
        <v>47476</v>
      </c>
      <c r="D479" s="109">
        <f t="shared" ref="D479:M479" si="794">ROUND(+C479*(1+$P$479),0)</f>
        <v>48900</v>
      </c>
      <c r="E479" s="109">
        <f t="shared" si="794"/>
        <v>50367</v>
      </c>
      <c r="F479" s="109">
        <f t="shared" si="794"/>
        <v>51878</v>
      </c>
      <c r="G479" s="109">
        <f t="shared" si="794"/>
        <v>53434</v>
      </c>
      <c r="H479" s="109">
        <f t="shared" si="794"/>
        <v>55037</v>
      </c>
      <c r="I479" s="109">
        <f t="shared" si="794"/>
        <v>56688</v>
      </c>
      <c r="J479" s="109">
        <f t="shared" si="794"/>
        <v>58389</v>
      </c>
      <c r="K479" s="109">
        <f t="shared" si="794"/>
        <v>60141</v>
      </c>
      <c r="L479" s="109">
        <f t="shared" si="794"/>
        <v>61945</v>
      </c>
      <c r="M479" s="109">
        <f t="shared" si="794"/>
        <v>63803</v>
      </c>
      <c r="N479" s="109"/>
      <c r="O479" s="319">
        <v>12</v>
      </c>
      <c r="P479" s="312">
        <v>0.03</v>
      </c>
      <c r="Q479" s="225"/>
      <c r="R479" s="61" t="str">
        <f>CONCATENATE("Number of Students ",IF(AND($AD$2&gt;=7,$AD$2&lt;=9),CONCATENATE("(Fall)"),IF(AND($AD$2&gt;=7,$AD$2&lt;=10),CONCATENATE("(Spring)"),IF(OR($AD$2&gt;=10,$AD$2&lt;=2),CONCATENATE("(Spring)"),IF(AND($AD$2&gt;=7,$AD$2&lt;=10),CONCATENATE("(Summer)"),IF(OR($AD$2&gt;=10,$AD$2&lt;=2),CONCATENATE("(Summer)"),IF(AND($AD$2&gt;=3,$AD$2&lt;=6),CONCATENATE("(Summer)"),"N/A")))))))</f>
        <v>Number of Students (Fall)</v>
      </c>
      <c r="S479" s="60">
        <f t="shared" ref="S479:X481" si="795">+B485</f>
        <v>0</v>
      </c>
      <c r="T479" s="60">
        <f t="shared" si="795"/>
        <v>0</v>
      </c>
      <c r="U479" s="60">
        <f t="shared" si="795"/>
        <v>0</v>
      </c>
      <c r="V479" s="60">
        <f t="shared" si="795"/>
        <v>0</v>
      </c>
      <c r="W479" s="60">
        <f t="shared" si="795"/>
        <v>0</v>
      </c>
      <c r="X479" s="60">
        <f t="shared" si="795"/>
        <v>0</v>
      </c>
      <c r="Y479" s="60">
        <f t="shared" ref="Y479:Y481" si="796">+H485</f>
        <v>0</v>
      </c>
      <c r="Z479" s="60">
        <f t="shared" ref="Z479:Z481" si="797">+I485</f>
        <v>0</v>
      </c>
      <c r="AA479" s="60">
        <f t="shared" ref="AA479:AA481" si="798">+J485</f>
        <v>0</v>
      </c>
      <c r="AB479" s="60">
        <f t="shared" ref="AB479:AD481" si="799">+K485</f>
        <v>0</v>
      </c>
      <c r="AC479" s="60">
        <f t="shared" si="799"/>
        <v>0</v>
      </c>
      <c r="AD479" s="60">
        <f t="shared" si="799"/>
        <v>0</v>
      </c>
    </row>
    <row r="480" spans="1:32" x14ac:dyDescent="0.35">
      <c r="A480" s="220" t="s">
        <v>44</v>
      </c>
      <c r="B480" s="313">
        <v>0</v>
      </c>
      <c r="C480" s="313">
        <v>0</v>
      </c>
      <c r="D480" s="313">
        <v>0</v>
      </c>
      <c r="E480" s="313">
        <v>0</v>
      </c>
      <c r="F480" s="313">
        <v>0</v>
      </c>
      <c r="G480" s="313">
        <v>0</v>
      </c>
      <c r="H480" s="313">
        <v>0</v>
      </c>
      <c r="I480" s="313">
        <v>0</v>
      </c>
      <c r="J480" s="313">
        <v>0</v>
      </c>
      <c r="K480" s="313">
        <v>0</v>
      </c>
      <c r="L480" s="313">
        <v>0</v>
      </c>
      <c r="M480" s="313">
        <v>0</v>
      </c>
      <c r="N480" s="402"/>
      <c r="O480" s="25"/>
      <c r="P480" s="25"/>
      <c r="Q480" s="220"/>
      <c r="R480" s="115" t="str">
        <f>CONCATENATE("Number of Students ",IF(AND($AD$2&gt;=7,$AD$2&lt;=9),CONCATENATE("(Spring)"),IF(AND($AD$2&gt;=7,$AD$2&lt;=10),CONCATENATE("(Summer)"),IF(OR($AD$2&gt;=10,$AD$2&lt;=2),CONCATENATE("(Summer)"),IF(AND($AD$2&gt;=7,$AD$2&lt;=10),CONCATENATE("(Fall)"),IF(OR($AD$2&gt;=10,$AD$2&lt;=2),CONCATENATE("(Fall) "),IF(AND($AD$2&gt;=3,$AD$2&lt;=6),CONCATENATE("(Fall)"),"N/A")))))))</f>
        <v>Number of Students (Spring)</v>
      </c>
      <c r="S480" s="60">
        <f t="shared" si="795"/>
        <v>0</v>
      </c>
      <c r="T480" s="60">
        <f t="shared" si="795"/>
        <v>0</v>
      </c>
      <c r="U480" s="60">
        <f t="shared" si="795"/>
        <v>0</v>
      </c>
      <c r="V480" s="60">
        <f t="shared" si="795"/>
        <v>0</v>
      </c>
      <c r="W480" s="60">
        <f t="shared" si="795"/>
        <v>0</v>
      </c>
      <c r="X480" s="60">
        <f t="shared" si="795"/>
        <v>0</v>
      </c>
      <c r="Y480" s="60">
        <f t="shared" si="796"/>
        <v>0</v>
      </c>
      <c r="Z480" s="60">
        <f t="shared" si="797"/>
        <v>0</v>
      </c>
      <c r="AA480" s="60">
        <f t="shared" si="798"/>
        <v>0</v>
      </c>
      <c r="AB480" s="60">
        <f t="shared" si="799"/>
        <v>0</v>
      </c>
      <c r="AC480" s="60">
        <f t="shared" si="799"/>
        <v>0</v>
      </c>
      <c r="AD480" s="60">
        <f t="shared" si="799"/>
        <v>0</v>
      </c>
    </row>
    <row r="481" spans="1:30" x14ac:dyDescent="0.35">
      <c r="A481" s="220" t="str">
        <f>CONCATENATE("FTE for ",O479," Months")</f>
        <v>FTE for 12 Months</v>
      </c>
      <c r="B481" s="395">
        <f t="shared" ref="B481:L481" si="800">+B480/$O479</f>
        <v>0</v>
      </c>
      <c r="C481" s="395">
        <f t="shared" si="800"/>
        <v>0</v>
      </c>
      <c r="D481" s="395">
        <f t="shared" si="800"/>
        <v>0</v>
      </c>
      <c r="E481" s="395">
        <f t="shared" si="800"/>
        <v>0</v>
      </c>
      <c r="F481" s="395">
        <f t="shared" si="800"/>
        <v>0</v>
      </c>
      <c r="G481" s="395">
        <f t="shared" si="800"/>
        <v>0</v>
      </c>
      <c r="H481" s="395">
        <f t="shared" si="800"/>
        <v>0</v>
      </c>
      <c r="I481" s="395">
        <f t="shared" si="800"/>
        <v>0</v>
      </c>
      <c r="J481" s="395">
        <f t="shared" si="800"/>
        <v>0</v>
      </c>
      <c r="K481" s="395">
        <f t="shared" si="800"/>
        <v>0</v>
      </c>
      <c r="L481" s="395">
        <f t="shared" si="800"/>
        <v>0</v>
      </c>
      <c r="M481" s="395">
        <f t="shared" ref="M481" si="801">+M480/$O479</f>
        <v>0</v>
      </c>
      <c r="N481" s="403"/>
      <c r="O481" s="89"/>
      <c r="P481" s="89"/>
      <c r="Q481" s="223"/>
      <c r="R481" s="115" t="str">
        <f>CONCATENATE("Number of Students ",IF(AND($AD$2&gt;=7,$AD$2&lt;=9),CONCATENATE("(Summer)"),IF(AND($AD$2&gt;=7,$AD$2&lt;=10),CONCATENATE("(Fall)"),IF(OR($AD$2&gt;=10,$AD$2&lt;=2),CONCATENATE("(Fall)"),IF(AND($AD$2&gt;=7,$AD$2&lt;=10),CONCATENATE("(Spring)"),IF(OR($AD$2&gt;=10,$AD$2&lt;=2),CONCATENATE("(Spring)"),IF(AND($AD$2&gt;=3,$AD$2&lt;=6),CONCATENATE("(Spring)"),"N/A")))))))</f>
        <v>Number of Students (Summer)</v>
      </c>
      <c r="S481" s="60">
        <f t="shared" si="795"/>
        <v>0</v>
      </c>
      <c r="T481" s="60">
        <f t="shared" si="795"/>
        <v>0</v>
      </c>
      <c r="U481" s="60">
        <f t="shared" si="795"/>
        <v>0</v>
      </c>
      <c r="V481" s="60">
        <f t="shared" si="795"/>
        <v>0</v>
      </c>
      <c r="W481" s="60">
        <f t="shared" si="795"/>
        <v>0</v>
      </c>
      <c r="X481" s="60">
        <f t="shared" si="795"/>
        <v>0</v>
      </c>
      <c r="Y481" s="60">
        <f t="shared" si="796"/>
        <v>0</v>
      </c>
      <c r="Z481" s="60">
        <f t="shared" si="797"/>
        <v>0</v>
      </c>
      <c r="AA481" s="60">
        <f t="shared" si="798"/>
        <v>0</v>
      </c>
      <c r="AB481" s="60">
        <f t="shared" si="799"/>
        <v>0</v>
      </c>
      <c r="AC481" s="60">
        <f t="shared" si="799"/>
        <v>0</v>
      </c>
      <c r="AD481" s="60">
        <f t="shared" si="799"/>
        <v>0</v>
      </c>
    </row>
    <row r="482" spans="1:30" x14ac:dyDescent="0.35">
      <c r="A482" s="220" t="s">
        <v>21</v>
      </c>
      <c r="B482" s="110">
        <f t="shared" ref="B482:K482" si="802">ROUND((B479*B481*$Q$35)+(C479*B481*$Q$36),0)</f>
        <v>0</v>
      </c>
      <c r="C482" s="110">
        <f t="shared" si="802"/>
        <v>0</v>
      </c>
      <c r="D482" s="110">
        <f t="shared" si="802"/>
        <v>0</v>
      </c>
      <c r="E482" s="110">
        <f t="shared" si="802"/>
        <v>0</v>
      </c>
      <c r="F482" s="110">
        <f t="shared" si="802"/>
        <v>0</v>
      </c>
      <c r="G482" s="110">
        <f t="shared" si="802"/>
        <v>0</v>
      </c>
      <c r="H482" s="110">
        <f t="shared" si="802"/>
        <v>0</v>
      </c>
      <c r="I482" s="110">
        <f t="shared" si="802"/>
        <v>0</v>
      </c>
      <c r="J482" s="110">
        <f t="shared" si="802"/>
        <v>0</v>
      </c>
      <c r="K482" s="110">
        <f t="shared" si="802"/>
        <v>0</v>
      </c>
      <c r="L482" s="110">
        <f>ROUND((L479*L481*$Q$35)+(N479*L481*$Q$36),0)</f>
        <v>0</v>
      </c>
      <c r="M482" s="110">
        <f>ROUND((M479*M481*$Q$35)+(O479*M481*$Q$36),0)</f>
        <v>0</v>
      </c>
      <c r="N482" s="404"/>
      <c r="O482" s="89"/>
      <c r="P482" s="89"/>
      <c r="Q482" s="223"/>
      <c r="R482" s="25"/>
      <c r="S482" s="33"/>
      <c r="T482" s="33"/>
      <c r="U482" s="33"/>
      <c r="V482" s="33"/>
      <c r="W482" s="33"/>
      <c r="X482" s="33"/>
      <c r="Y482" s="23"/>
    </row>
    <row r="483" spans="1:30" x14ac:dyDescent="0.35">
      <c r="A483" s="220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89"/>
      <c r="P483" s="89"/>
      <c r="Q483" s="223"/>
      <c r="R483" s="25"/>
      <c r="S483" s="33"/>
      <c r="T483" s="33"/>
      <c r="U483" s="33"/>
      <c r="V483" s="33"/>
      <c r="W483" s="33"/>
      <c r="X483" s="33"/>
      <c r="Y483" s="23"/>
    </row>
    <row r="484" spans="1:30" ht="15" thickBot="1" x14ac:dyDescent="0.4">
      <c r="A484" s="219" t="s">
        <v>70</v>
      </c>
      <c r="B484" s="24" t="s">
        <v>1</v>
      </c>
      <c r="C484" s="24" t="s">
        <v>2</v>
      </c>
      <c r="D484" s="24" t="s">
        <v>3</v>
      </c>
      <c r="E484" s="24" t="s">
        <v>39</v>
      </c>
      <c r="F484" s="24" t="s">
        <v>45</v>
      </c>
      <c r="G484" s="24" t="s">
        <v>185</v>
      </c>
      <c r="H484" s="24" t="s">
        <v>186</v>
      </c>
      <c r="I484" s="24" t="s">
        <v>187</v>
      </c>
      <c r="J484" s="24" t="s">
        <v>188</v>
      </c>
      <c r="K484" s="24" t="s">
        <v>189</v>
      </c>
      <c r="L484" s="24"/>
      <c r="M484" s="24"/>
      <c r="N484" s="23"/>
      <c r="O484" s="89"/>
      <c r="P484" s="89"/>
      <c r="Q484" s="223"/>
      <c r="R484" s="35" t="s">
        <v>105</v>
      </c>
      <c r="S484" s="50" t="s">
        <v>1</v>
      </c>
      <c r="T484" s="51" t="s">
        <v>2</v>
      </c>
      <c r="U484" s="51" t="s">
        <v>3</v>
      </c>
      <c r="V484" s="51" t="s">
        <v>39</v>
      </c>
      <c r="W484" s="51" t="s">
        <v>45</v>
      </c>
      <c r="X484" s="51" t="s">
        <v>185</v>
      </c>
      <c r="Y484" s="51" t="s">
        <v>186</v>
      </c>
      <c r="Z484" s="51" t="s">
        <v>187</v>
      </c>
      <c r="AA484" s="51" t="s">
        <v>188</v>
      </c>
      <c r="AB484" s="51" t="s">
        <v>189</v>
      </c>
    </row>
    <row r="485" spans="1:30" x14ac:dyDescent="0.35">
      <c r="A485" s="220" t="str">
        <f>+R479</f>
        <v>Number of Students (Fall)</v>
      </c>
      <c r="B485" s="315">
        <v>0</v>
      </c>
      <c r="C485" s="315">
        <v>0</v>
      </c>
      <c r="D485" s="315">
        <v>0</v>
      </c>
      <c r="E485" s="315">
        <v>0</v>
      </c>
      <c r="F485" s="315">
        <v>0</v>
      </c>
      <c r="G485" s="315">
        <v>0</v>
      </c>
      <c r="H485" s="315">
        <v>0</v>
      </c>
      <c r="I485" s="315">
        <v>0</v>
      </c>
      <c r="J485" s="315">
        <v>0</v>
      </c>
      <c r="K485" s="315">
        <v>0</v>
      </c>
      <c r="L485" s="316"/>
      <c r="M485" s="316"/>
      <c r="N485" s="23"/>
      <c r="O485" s="89"/>
      <c r="P485" s="89"/>
      <c r="Q485" s="223"/>
      <c r="R485" s="36" t="s">
        <v>22</v>
      </c>
      <c r="S485" s="37">
        <f>SUM(S495:S497)</f>
        <v>0</v>
      </c>
      <c r="T485" s="37">
        <f>SUM(T495:T497)</f>
        <v>0</v>
      </c>
      <c r="U485" s="37">
        <f>SUM(U495:U497)</f>
        <v>0</v>
      </c>
      <c r="V485" s="37">
        <f>SUM(V495:V497)</f>
        <v>0</v>
      </c>
      <c r="W485" s="37">
        <f t="shared" ref="W485:AB485" si="803">SUM(W495:W497)</f>
        <v>0</v>
      </c>
      <c r="X485" s="37">
        <f t="shared" si="803"/>
        <v>0</v>
      </c>
      <c r="Y485" s="37">
        <f t="shared" si="803"/>
        <v>0</v>
      </c>
      <c r="Z485" s="37">
        <f t="shared" si="803"/>
        <v>0</v>
      </c>
      <c r="AA485" s="37">
        <f t="shared" si="803"/>
        <v>0</v>
      </c>
      <c r="AB485" s="37">
        <f t="shared" si="803"/>
        <v>0</v>
      </c>
    </row>
    <row r="486" spans="1:30" x14ac:dyDescent="0.35">
      <c r="A486" s="220" t="str">
        <f>+R480</f>
        <v>Number of Students (Spring)</v>
      </c>
      <c r="B486" s="316">
        <f>+B485</f>
        <v>0</v>
      </c>
      <c r="C486" s="316">
        <f>+C485</f>
        <v>0</v>
      </c>
      <c r="D486" s="316">
        <f>+D485</f>
        <v>0</v>
      </c>
      <c r="E486" s="316">
        <f>+E485</f>
        <v>0</v>
      </c>
      <c r="F486" s="316">
        <f>+F485</f>
        <v>0</v>
      </c>
      <c r="G486" s="316">
        <f t="shared" ref="G486:K486" si="804">+G485</f>
        <v>0</v>
      </c>
      <c r="H486" s="316">
        <f t="shared" si="804"/>
        <v>0</v>
      </c>
      <c r="I486" s="316">
        <f t="shared" si="804"/>
        <v>0</v>
      </c>
      <c r="J486" s="316">
        <f t="shared" si="804"/>
        <v>0</v>
      </c>
      <c r="K486" s="316">
        <f t="shared" si="804"/>
        <v>0</v>
      </c>
      <c r="L486" s="316"/>
      <c r="M486" s="316"/>
      <c r="N486" s="23"/>
      <c r="O486" s="89"/>
      <c r="P486" s="89"/>
      <c r="Q486" s="223"/>
      <c r="R486" s="36" t="s">
        <v>8</v>
      </c>
      <c r="S486" s="37">
        <f>SUM(S498:S500)</f>
        <v>0</v>
      </c>
      <c r="T486" s="37">
        <f>SUM(T498:T500)</f>
        <v>0</v>
      </c>
      <c r="U486" s="37">
        <f>SUM(U498:U500)</f>
        <v>0</v>
      </c>
      <c r="V486" s="37">
        <f>SUM(V498:V500)</f>
        <v>0</v>
      </c>
      <c r="W486" s="37">
        <f t="shared" ref="W486:AB486" si="805">SUM(W498:W500)</f>
        <v>0</v>
      </c>
      <c r="X486" s="37">
        <f t="shared" si="805"/>
        <v>0</v>
      </c>
      <c r="Y486" s="37">
        <f t="shared" si="805"/>
        <v>0</v>
      </c>
      <c r="Z486" s="37">
        <f t="shared" si="805"/>
        <v>0</v>
      </c>
      <c r="AA486" s="37">
        <f t="shared" si="805"/>
        <v>0</v>
      </c>
      <c r="AB486" s="37">
        <f t="shared" si="805"/>
        <v>0</v>
      </c>
    </row>
    <row r="487" spans="1:30" x14ac:dyDescent="0.35">
      <c r="A487" s="220" t="str">
        <f>+R481</f>
        <v>Number of Students (Summer)</v>
      </c>
      <c r="B487" s="316">
        <f>+B485</f>
        <v>0</v>
      </c>
      <c r="C487" s="316">
        <f>+C485</f>
        <v>0</v>
      </c>
      <c r="D487" s="316">
        <f>+D485</f>
        <v>0</v>
      </c>
      <c r="E487" s="316">
        <f>+E485</f>
        <v>0</v>
      </c>
      <c r="F487" s="316">
        <f>+F485</f>
        <v>0</v>
      </c>
      <c r="G487" s="316">
        <f t="shared" ref="G487:K487" si="806">+G485</f>
        <v>0</v>
      </c>
      <c r="H487" s="316">
        <f t="shared" si="806"/>
        <v>0</v>
      </c>
      <c r="I487" s="316">
        <f t="shared" si="806"/>
        <v>0</v>
      </c>
      <c r="J487" s="316">
        <f t="shared" si="806"/>
        <v>0</v>
      </c>
      <c r="K487" s="316">
        <f t="shared" si="806"/>
        <v>0</v>
      </c>
      <c r="L487" s="316"/>
      <c r="M487" s="316"/>
      <c r="N487" s="23"/>
      <c r="O487" s="89"/>
      <c r="P487" s="89"/>
      <c r="Q487" s="223"/>
      <c r="R487" s="36" t="s">
        <v>9</v>
      </c>
      <c r="S487" s="37">
        <f>SUM(S501:S503)</f>
        <v>0</v>
      </c>
      <c r="T487" s="37">
        <f>SUM(T501:T503)</f>
        <v>0</v>
      </c>
      <c r="U487" s="37">
        <f>SUM(U501:U503)</f>
        <v>0</v>
      </c>
      <c r="V487" s="37">
        <f>SUM(V501:V503)</f>
        <v>0</v>
      </c>
      <c r="W487" s="37">
        <f t="shared" ref="W487:AB487" si="807">SUM(W501:W503)</f>
        <v>0</v>
      </c>
      <c r="X487" s="37">
        <f t="shared" si="807"/>
        <v>0</v>
      </c>
      <c r="Y487" s="37">
        <f t="shared" si="807"/>
        <v>0</v>
      </c>
      <c r="Z487" s="37">
        <f t="shared" si="807"/>
        <v>0</v>
      </c>
      <c r="AA487" s="37">
        <f t="shared" si="807"/>
        <v>0</v>
      </c>
      <c r="AB487" s="37">
        <f t="shared" si="807"/>
        <v>0</v>
      </c>
    </row>
    <row r="488" spans="1:30" ht="15" thickBot="1" x14ac:dyDescent="0.4">
      <c r="A488" s="220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23"/>
      <c r="O488" s="89"/>
      <c r="P488" s="89"/>
      <c r="Q488" s="223"/>
      <c r="R488" s="38" t="s">
        <v>31</v>
      </c>
      <c r="S488" s="39">
        <f>SUM(S485:S487)</f>
        <v>0</v>
      </c>
      <c r="T488" s="39">
        <f>SUM(T485:T487)</f>
        <v>0</v>
      </c>
      <c r="U488" s="39">
        <f>SUM(U485:U487)</f>
        <v>0</v>
      </c>
      <c r="V488" s="39">
        <f>SUM(V485:V487)</f>
        <v>0</v>
      </c>
      <c r="W488" s="39">
        <f t="shared" ref="W488" si="808">SUM(W485:W487)</f>
        <v>0</v>
      </c>
      <c r="X488" s="39">
        <f t="shared" ref="X488" si="809">SUM(X485:X487)</f>
        <v>0</v>
      </c>
      <c r="Y488" s="39">
        <f t="shared" ref="Y488" si="810">SUM(Y485:Y487)</f>
        <v>0</v>
      </c>
      <c r="Z488" s="39">
        <f t="shared" ref="Z488" si="811">SUM(Z485:Z487)</f>
        <v>0</v>
      </c>
      <c r="AA488" s="39">
        <f t="shared" ref="AA488" si="812">SUM(AA485:AA487)</f>
        <v>0</v>
      </c>
      <c r="AB488" s="39">
        <f t="shared" ref="AB488" si="813">SUM(AB485:AB487)</f>
        <v>0</v>
      </c>
    </row>
    <row r="489" spans="1:30" x14ac:dyDescent="0.35">
      <c r="A489" s="219" t="s">
        <v>73</v>
      </c>
      <c r="B489" s="24" t="s">
        <v>1</v>
      </c>
      <c r="C489" s="24" t="s">
        <v>2</v>
      </c>
      <c r="D489" s="24" t="s">
        <v>3</v>
      </c>
      <c r="E489" s="24" t="s">
        <v>39</v>
      </c>
      <c r="F489" s="24" t="s">
        <v>45</v>
      </c>
      <c r="G489" s="24" t="s">
        <v>185</v>
      </c>
      <c r="H489" s="24" t="s">
        <v>186</v>
      </c>
      <c r="I489" s="24" t="s">
        <v>187</v>
      </c>
      <c r="J489" s="24" t="s">
        <v>188</v>
      </c>
      <c r="K489" s="24" t="s">
        <v>189</v>
      </c>
      <c r="L489" s="24"/>
      <c r="M489" s="24"/>
      <c r="Q489" s="213"/>
      <c r="S489" s="116"/>
      <c r="Y489" s="23"/>
    </row>
    <row r="490" spans="1:30" x14ac:dyDescent="0.35">
      <c r="A490" s="220" t="s">
        <v>69</v>
      </c>
      <c r="B490" s="313">
        <f>Minimum_Undergraduate_rate</f>
        <v>14.2</v>
      </c>
      <c r="C490" s="313">
        <f>+B490</f>
        <v>14.2</v>
      </c>
      <c r="D490" s="313">
        <f t="shared" ref="D490" si="814">+C490</f>
        <v>14.2</v>
      </c>
      <c r="E490" s="313">
        <f t="shared" ref="E490" si="815">+D490</f>
        <v>14.2</v>
      </c>
      <c r="F490" s="313">
        <f t="shared" ref="F490" si="816">+E490</f>
        <v>14.2</v>
      </c>
      <c r="G490" s="313">
        <f t="shared" ref="G490" si="817">+F490</f>
        <v>14.2</v>
      </c>
      <c r="H490" s="313">
        <f t="shared" ref="H490" si="818">+G490</f>
        <v>14.2</v>
      </c>
      <c r="I490" s="313">
        <f t="shared" ref="I490" si="819">+H490</f>
        <v>14.2</v>
      </c>
      <c r="J490" s="313">
        <f t="shared" ref="J490" si="820">+I490</f>
        <v>14.2</v>
      </c>
      <c r="K490" s="313">
        <f t="shared" ref="K490" si="821">+J490</f>
        <v>14.2</v>
      </c>
      <c r="L490" s="402"/>
      <c r="M490" s="402"/>
      <c r="Q490" s="213"/>
      <c r="Y490" s="23"/>
    </row>
    <row r="491" spans="1:30" x14ac:dyDescent="0.35">
      <c r="A491" s="220" t="s">
        <v>60</v>
      </c>
      <c r="B491" s="317">
        <v>0</v>
      </c>
      <c r="C491" s="317">
        <v>0</v>
      </c>
      <c r="D491" s="317">
        <v>0</v>
      </c>
      <c r="E491" s="317">
        <v>0</v>
      </c>
      <c r="F491" s="317">
        <v>0</v>
      </c>
      <c r="G491" s="317">
        <v>0</v>
      </c>
      <c r="H491" s="317">
        <v>0</v>
      </c>
      <c r="I491" s="317">
        <v>0</v>
      </c>
      <c r="J491" s="317">
        <v>0</v>
      </c>
      <c r="K491" s="317">
        <v>0</v>
      </c>
      <c r="L491" s="405"/>
      <c r="M491" s="405"/>
      <c r="Q491" s="213"/>
      <c r="R491" s="117"/>
      <c r="S491" s="53" t="str">
        <f>CONCATENATE("FY",$AD$3)</f>
        <v>FY2024</v>
      </c>
      <c r="T491" s="53" t="str">
        <f>CONCATENATE("FY",$AD$3+1)</f>
        <v>FY2025</v>
      </c>
      <c r="U491" s="53" t="str">
        <f>CONCATENATE("FY",$AD$3+2)</f>
        <v>FY2026</v>
      </c>
      <c r="V491" s="53" t="str">
        <f>CONCATENATE("FY",$AD$3+3)</f>
        <v>FY2027</v>
      </c>
      <c r="W491" s="53" t="str">
        <f>CONCATENATE("FY",$AD$3+4)</f>
        <v>FY2028</v>
      </c>
      <c r="X491" s="53" t="str">
        <f>CONCATENATE("FY",$AD$3+5)</f>
        <v>FY2029</v>
      </c>
      <c r="Y491" s="53" t="str">
        <f>CONCATENATE("FY",$AD$3+6)</f>
        <v>FY2030</v>
      </c>
      <c r="Z491" s="53" t="str">
        <f>CONCATENATE("FY",$AD$3+7)</f>
        <v>FY2031</v>
      </c>
      <c r="AA491" s="53" t="str">
        <f>CONCATENATE("FY",$AD$3+8)</f>
        <v>FY2032</v>
      </c>
      <c r="AB491" s="53" t="str">
        <f>CONCATENATE("FY",$AD$3+9)</f>
        <v>FY2033</v>
      </c>
    </row>
    <row r="492" spans="1:30" x14ac:dyDescent="0.35">
      <c r="A492" s="220" t="s">
        <v>61</v>
      </c>
      <c r="B492" s="317">
        <v>0</v>
      </c>
      <c r="C492" s="317">
        <v>0</v>
      </c>
      <c r="D492" s="317">
        <v>0</v>
      </c>
      <c r="E492" s="317">
        <v>0</v>
      </c>
      <c r="F492" s="317">
        <v>0</v>
      </c>
      <c r="G492" s="317">
        <v>0</v>
      </c>
      <c r="H492" s="317">
        <v>0</v>
      </c>
      <c r="I492" s="317">
        <v>0</v>
      </c>
      <c r="J492" s="317">
        <v>0</v>
      </c>
      <c r="K492" s="317">
        <v>0</v>
      </c>
      <c r="L492" s="405"/>
      <c r="M492" s="405"/>
      <c r="Q492" s="213"/>
      <c r="R492" s="118"/>
      <c r="S492" s="53" t="str">
        <f>IF(OR($AD$2&gt;=7,$AD$2&lt;=2),CONCATENATE("FY",$AD$3),IF(AND($AD$2&gt;=3,$AD$2&lt;=6),CONCATENATE("FY",$AD$3+1),"N/A"))</f>
        <v>FY2024</v>
      </c>
      <c r="T492" s="53" t="str">
        <f>IF(OR($AD$2&gt;=7,$AD$2&lt;=2),CONCATENATE("FY",$AD$3+1),IF(AND($AD$2&gt;=3,$AD$2&lt;=6),CONCATENATE("FY",$AD$3+2),"N/A"))</f>
        <v>FY2025</v>
      </c>
      <c r="U492" s="53" t="str">
        <f>IF(OR($AD$2&gt;=7,$AD$2&lt;=2),CONCATENATE("FY",$AD$3+2),IF(AND($AD$2&gt;=3,$AD$2&lt;=6),CONCATENATE("FY",$AD$3+3),"N/A"))</f>
        <v>FY2026</v>
      </c>
      <c r="V492" s="53" t="str">
        <f>IF(OR($AD$2&gt;=7,$AD$2&lt;=2),CONCATENATE("FY",$AD$3+3),IF(AND($AD$2&gt;=3,$AD$2&lt;=6),CONCATENATE("FY",$AD$3+4),"N/A"))</f>
        <v>FY2027</v>
      </c>
      <c r="W492" s="53" t="str">
        <f>IF(OR($AD$2&gt;=7,$AD$2&lt;=2),CONCATENATE("FY",$AD$3+4),IF(AND($AD$2&gt;=3,$AD$2&lt;=6),CONCATENATE("FY",$AD$3+5),"N/A"))</f>
        <v>FY2028</v>
      </c>
      <c r="X492" s="53" t="str">
        <f>IF(OR($AD$2&gt;=7,$AD$2&lt;=2),CONCATENATE("FY",$AD$3+5),IF(AND($AD$2&gt;=3,$AD$2&lt;=6),CONCATENATE("FY",$AD$3+6),"N/A"))</f>
        <v>FY2029</v>
      </c>
      <c r="Y492" s="53" t="str">
        <f>IF(OR($AD$2&gt;=7,$AD$2&lt;=2),CONCATENATE("FY",$AD$3+6),IF(AND($AD$2&gt;=3,$AD$2&lt;=6),CONCATENATE("FY",$AD$3+7),"N/A"))</f>
        <v>FY2030</v>
      </c>
      <c r="Z492" s="53" t="str">
        <f>IF(OR($AD$2&gt;=7,$AD$2&lt;=2),CONCATENATE("FY",$AD$3+7),IF(AND($AD$2&gt;=3,$AD$2&lt;=6),CONCATENATE("FY",$AD$3+8),"N/A"))</f>
        <v>FY2031</v>
      </c>
      <c r="AA492" s="53" t="str">
        <f>IF(OR($AD$2&gt;=7,$AD$2&lt;=2),CONCATENATE("FY",$AD$3+8),IF(AND($AD$2&gt;=3,$AD$2&lt;=6),CONCATENATE("FY",$AD$3+9),"N/A"))</f>
        <v>FY2032</v>
      </c>
      <c r="AB492" s="53" t="str">
        <f>IF(OR($AD$2&gt;=7,$AD$2&lt;=2),CONCATENATE("FY",$AD$3+9),IF(AND($AD$2&gt;=3,$AD$2&lt;=6),CONCATENATE("FY",$AD$3+10),"N/A"))</f>
        <v>FY2033</v>
      </c>
    </row>
    <row r="493" spans="1:30" x14ac:dyDescent="0.35">
      <c r="A493" s="220" t="s">
        <v>66</v>
      </c>
      <c r="B493" s="54">
        <f>ROUND(B490*(B491*B492),0)</f>
        <v>0</v>
      </c>
      <c r="C493" s="54">
        <f t="shared" ref="C493:F493" si="822">ROUND(C490*(C491*C492),0)</f>
        <v>0</v>
      </c>
      <c r="D493" s="54">
        <f t="shared" si="822"/>
        <v>0</v>
      </c>
      <c r="E493" s="54">
        <f t="shared" si="822"/>
        <v>0</v>
      </c>
      <c r="F493" s="54">
        <f t="shared" si="822"/>
        <v>0</v>
      </c>
      <c r="G493" s="54">
        <f t="shared" ref="G493:K493" si="823">ROUND(G490*(G491*G492),0)</f>
        <v>0</v>
      </c>
      <c r="H493" s="54">
        <f t="shared" si="823"/>
        <v>0</v>
      </c>
      <c r="I493" s="54">
        <f t="shared" si="823"/>
        <v>0</v>
      </c>
      <c r="J493" s="54">
        <f t="shared" si="823"/>
        <v>0</v>
      </c>
      <c r="K493" s="54">
        <f t="shared" si="823"/>
        <v>0</v>
      </c>
      <c r="L493" s="406"/>
      <c r="M493" s="406"/>
      <c r="Q493" s="213"/>
      <c r="R493" s="53"/>
      <c r="S493" s="53" t="str">
        <f>IF(AND($AD$2&gt;=1,$AD$2&lt;=6),CONCATENATE("FY",$AD$3+1),IF(AND($AD$2&gt;=7,$AD$2&lt;=9),CONCATENATE("FY",$AD$3),IF(AND($AD$2&gt;=10,$AD$2&lt;=126),CONCATENATE("FY",$AD$3+1),"N/A")))</f>
        <v>FY2024</v>
      </c>
      <c r="T493" s="53" t="str">
        <f>IF(AND($AD$2&gt;=1,$AD$2&lt;=6),CONCATENATE("FY",$AD$3+2),IF(AND($AD$2&gt;=7,$AD$2&lt;=9),CONCATENATE("FY",$AD$3+1),IF(AND($AD$2&gt;=10,$AD$2&lt;=126),CONCATENATE("FY",$AD$3+2),"N/A")))</f>
        <v>FY2025</v>
      </c>
      <c r="U493" s="53" t="str">
        <f>IF(AND($AD$2&gt;=1,$AD$2&lt;=6),CONCATENATE("FY",$AD$3+3),IF(AND($AD$2&gt;=7,$AD$2&lt;=9),CONCATENATE("FY",$AD$3+2),IF(AND($AD$2&gt;=10,$AD$2&lt;=126),CONCATENATE("FY",$AD$3+3),"N/A")))</f>
        <v>FY2026</v>
      </c>
      <c r="V493" s="53" t="str">
        <f>IF(AND($AD$2&gt;=1,$AD$2&lt;=6),CONCATENATE("FY",$AD$3+4),IF(AND($AD$2&gt;=7,$AD$2&lt;=9),CONCATENATE("FY",$AD$3+3),IF(AND($AD$2&gt;=10,$AD$2&lt;=126),CONCATENATE("FY",$AD$3+4),"N/A")))</f>
        <v>FY2027</v>
      </c>
      <c r="W493" s="53" t="str">
        <f>IF(AND($AD$2&gt;=1,$AD$2&lt;=6),CONCATENATE("FY",$AD$3+5),IF(AND($AD$2&gt;=7,$AD$2&lt;=9),CONCATENATE("FY",$AD$3+4),IF(AND($AD$2&gt;=10,$AD$2&lt;=126),CONCATENATE("FY",$AD$3+5),"N/A")))</f>
        <v>FY2028</v>
      </c>
      <c r="X493" s="53" t="str">
        <f>IF(AND($AD$2&gt;=1,$AD$2&lt;=6),CONCATENATE("FY",$AD$3+6),IF(AND($AD$2&gt;=7,$AD$2&lt;=9),CONCATENATE("FY",$AD$3+5),IF(AND($AD$2&gt;=10,$AD$2&lt;=126),CONCATENATE("FY",$AD$3+6),"N/A")))</f>
        <v>FY2029</v>
      </c>
      <c r="Y493" s="53" t="str">
        <f>IF(AND($AD$2&gt;=1,$AD$2&lt;=6),CONCATENATE("FY",$AD$3+6),IF(AND($AD$2&gt;=7,$AD$2&lt;=9),CONCATENATE("FY",$AD$3+6),IF(AND($AD$2&gt;=10,$AD$2&lt;=126),CONCATENATE("FY",$AD$3+7),"N/A")))</f>
        <v>FY2030</v>
      </c>
      <c r="Z493" s="53" t="str">
        <f>IF(AND($AD$2&gt;=1,$AD$2&lt;=6),CONCATENATE("FY",$AD$3+6),IF(AND($AD$2&gt;=7,$AD$2&lt;=9),CONCATENATE("FY",$AD$3+7),IF(AND($AD$2&gt;=10,$AD$2&lt;=126),CONCATENATE("FY",$AD$3+8),"N/A")))</f>
        <v>FY2031</v>
      </c>
      <c r="AA493" s="53" t="str">
        <f>IF(AND($AD$2&gt;=1,$AD$2&lt;=6),CONCATENATE("FY",$AD$3+6),IF(AND($AD$2&gt;=7,$AD$2&lt;=9),CONCATENATE("FY",$AD$3+8),IF(AND($AD$2&gt;=10,$AD$2&lt;=126),CONCATENATE("FY",$AD$3+9),"N/A")))</f>
        <v>FY2032</v>
      </c>
      <c r="AB493" s="53" t="str">
        <f>IF(AND($AD$2&gt;=1,$AD$2&lt;=6),CONCATENATE("FY",$AD$3+6),IF(AND($AD$2&gt;=7,$AD$2&lt;=9),CONCATENATE("FY",$AD$3+9),IF(AND($AD$2&gt;=10,$AD$2&lt;=126),CONCATENATE("FY",$AD$3+10),"N/A")))</f>
        <v>FY2033</v>
      </c>
    </row>
    <row r="494" spans="1:30" ht="15" thickBot="1" x14ac:dyDescent="0.4">
      <c r="A494" s="220" t="s">
        <v>58</v>
      </c>
      <c r="B494" s="317">
        <v>0</v>
      </c>
      <c r="C494" s="317">
        <v>0</v>
      </c>
      <c r="D494" s="317">
        <v>0</v>
      </c>
      <c r="E494" s="317">
        <v>0</v>
      </c>
      <c r="F494" s="317">
        <v>0</v>
      </c>
      <c r="G494" s="317">
        <v>0</v>
      </c>
      <c r="H494" s="317">
        <v>0</v>
      </c>
      <c r="I494" s="317">
        <v>0</v>
      </c>
      <c r="J494" s="317">
        <v>0</v>
      </c>
      <c r="K494" s="317">
        <v>0</v>
      </c>
      <c r="L494" s="405"/>
      <c r="M494" s="405"/>
      <c r="Q494" s="213"/>
      <c r="R494" s="35" t="s">
        <v>106</v>
      </c>
      <c r="S494" s="50" t="s">
        <v>1</v>
      </c>
      <c r="T494" s="51" t="s">
        <v>2</v>
      </c>
      <c r="U494" s="51" t="s">
        <v>3</v>
      </c>
      <c r="V494" s="51" t="s">
        <v>39</v>
      </c>
      <c r="W494" s="51" t="s">
        <v>45</v>
      </c>
      <c r="X494" s="51" t="s">
        <v>185</v>
      </c>
      <c r="Y494" s="51" t="s">
        <v>186</v>
      </c>
      <c r="Z494" s="51" t="s">
        <v>187</v>
      </c>
      <c r="AA494" s="51" t="s">
        <v>188</v>
      </c>
      <c r="AB494" s="51" t="s">
        <v>189</v>
      </c>
    </row>
    <row r="495" spans="1:30" x14ac:dyDescent="0.35">
      <c r="A495" s="220" t="s">
        <v>59</v>
      </c>
      <c r="B495" s="317">
        <v>0</v>
      </c>
      <c r="C495" s="317">
        <v>0</v>
      </c>
      <c r="D495" s="317">
        <v>0</v>
      </c>
      <c r="E495" s="317">
        <v>0</v>
      </c>
      <c r="F495" s="317">
        <v>0</v>
      </c>
      <c r="G495" s="317">
        <v>0</v>
      </c>
      <c r="H495" s="317">
        <v>0</v>
      </c>
      <c r="I495" s="317">
        <v>0</v>
      </c>
      <c r="J495" s="317">
        <v>0</v>
      </c>
      <c r="K495" s="317">
        <v>0</v>
      </c>
      <c r="L495" s="405"/>
      <c r="M495" s="405"/>
      <c r="Q495" s="213"/>
      <c r="R495" s="119" t="str">
        <f t="shared" ref="R495:R503" si="824">+R90</f>
        <v>Stipend (Fall)</v>
      </c>
      <c r="S495" s="120">
        <f t="shared" ref="S495:AB495" si="825">IF(RIGHT($R495,8)="(Summer)",ROUND(S479*HLOOKUP(S491,CoPI_5_GRARateTbl,3,FALSE),0))+IF(RIGHT($R495,8)&lt;&gt;"(Summer)",ROUND(S479*HLOOKUP(S491,CoPI_5_GRARateTbl,2,FALSE)/2,0))</f>
        <v>0</v>
      </c>
      <c r="T495" s="120">
        <f t="shared" si="825"/>
        <v>0</v>
      </c>
      <c r="U495" s="120">
        <f t="shared" si="825"/>
        <v>0</v>
      </c>
      <c r="V495" s="120">
        <f t="shared" si="825"/>
        <v>0</v>
      </c>
      <c r="W495" s="120">
        <f t="shared" si="825"/>
        <v>0</v>
      </c>
      <c r="X495" s="120">
        <f t="shared" si="825"/>
        <v>0</v>
      </c>
      <c r="Y495" s="120">
        <f t="shared" si="825"/>
        <v>0</v>
      </c>
      <c r="Z495" s="120">
        <f t="shared" si="825"/>
        <v>0</v>
      </c>
      <c r="AA495" s="120">
        <f t="shared" si="825"/>
        <v>0</v>
      </c>
      <c r="AB495" s="120">
        <f t="shared" si="825"/>
        <v>0</v>
      </c>
    </row>
    <row r="496" spans="1:30" x14ac:dyDescent="0.35">
      <c r="A496" s="220" t="s">
        <v>67</v>
      </c>
      <c r="B496" s="54">
        <f>ROUND(B490*(B494*B495),0)</f>
        <v>0</v>
      </c>
      <c r="C496" s="54">
        <f>ROUND(C490*(C494*C495),0)</f>
        <v>0</v>
      </c>
      <c r="D496" s="54">
        <f>ROUND(D490*(D494*D495),0)</f>
        <v>0</v>
      </c>
      <c r="E496" s="54">
        <f>ROUND(E490*(E494*E495),0)</f>
        <v>0</v>
      </c>
      <c r="F496" s="54">
        <f>ROUND(F490*(F494*F495),0)</f>
        <v>0</v>
      </c>
      <c r="G496" s="54">
        <f t="shared" ref="G496:K496" si="826">ROUND(G490*(G494*G495),0)</f>
        <v>0</v>
      </c>
      <c r="H496" s="54">
        <f t="shared" si="826"/>
        <v>0</v>
      </c>
      <c r="I496" s="54">
        <f t="shared" si="826"/>
        <v>0</v>
      </c>
      <c r="J496" s="54">
        <f t="shared" si="826"/>
        <v>0</v>
      </c>
      <c r="K496" s="54">
        <f t="shared" si="826"/>
        <v>0</v>
      </c>
      <c r="L496" s="406"/>
      <c r="M496" s="406"/>
      <c r="Q496" s="213"/>
      <c r="R496" s="121" t="str">
        <f t="shared" si="824"/>
        <v>Stipend (Spring)</v>
      </c>
      <c r="S496" s="120">
        <f t="shared" ref="S496:AB496" si="827">IF(RIGHT($R496,8)="(Summer)",ROUND(S480*HLOOKUP(S492,CoPI_5_GRARateTbl,3,FALSE),0))+IF(RIGHT($R496,8)&lt;&gt;"(Summer)",ROUND(S480*HLOOKUP(S492,CoPI_5_GRARateTbl,2,FALSE)/2,0))</f>
        <v>0</v>
      </c>
      <c r="T496" s="120">
        <f t="shared" si="827"/>
        <v>0</v>
      </c>
      <c r="U496" s="120">
        <f t="shared" si="827"/>
        <v>0</v>
      </c>
      <c r="V496" s="120">
        <f t="shared" si="827"/>
        <v>0</v>
      </c>
      <c r="W496" s="120">
        <f t="shared" si="827"/>
        <v>0</v>
      </c>
      <c r="X496" s="120">
        <f t="shared" si="827"/>
        <v>0</v>
      </c>
      <c r="Y496" s="120">
        <f t="shared" si="827"/>
        <v>0</v>
      </c>
      <c r="Z496" s="120">
        <f t="shared" si="827"/>
        <v>0</v>
      </c>
      <c r="AA496" s="120">
        <f t="shared" si="827"/>
        <v>0</v>
      </c>
      <c r="AB496" s="120">
        <f t="shared" si="827"/>
        <v>0</v>
      </c>
    </row>
    <row r="497" spans="1:28" x14ac:dyDescent="0.35">
      <c r="A497" s="220" t="s">
        <v>21</v>
      </c>
      <c r="B497" s="110">
        <f>+B493+B496</f>
        <v>0</v>
      </c>
      <c r="C497" s="110">
        <f>+C493+C496</f>
        <v>0</v>
      </c>
      <c r="D497" s="110">
        <f>+D493+D496</f>
        <v>0</v>
      </c>
      <c r="E497" s="110">
        <f>+E493+E496</f>
        <v>0</v>
      </c>
      <c r="F497" s="110">
        <f>+F493+F496</f>
        <v>0</v>
      </c>
      <c r="G497" s="110">
        <f t="shared" ref="G497:K497" si="828">+G493+G496</f>
        <v>0</v>
      </c>
      <c r="H497" s="110">
        <f t="shared" si="828"/>
        <v>0</v>
      </c>
      <c r="I497" s="110">
        <f t="shared" si="828"/>
        <v>0</v>
      </c>
      <c r="J497" s="110">
        <f t="shared" si="828"/>
        <v>0</v>
      </c>
      <c r="K497" s="110">
        <f t="shared" si="828"/>
        <v>0</v>
      </c>
      <c r="L497" s="404"/>
      <c r="M497" s="404"/>
      <c r="Q497" s="213"/>
      <c r="R497" s="121" t="str">
        <f t="shared" si="824"/>
        <v>Stipend (Summer)</v>
      </c>
      <c r="S497" s="120">
        <f t="shared" ref="S497:AB497" si="829">IF(RIGHT($R497,8)="(Summer)",ROUND(S481*HLOOKUP(S493,CoPI_5_GRARateTbl,3,FALSE),0))+IF(RIGHT($R497,8)&lt;&gt;"(Summer)",ROUND(S481*HLOOKUP(S493,CoPI_5_GRARateTbl,2,FALSE)/2,0))</f>
        <v>0</v>
      </c>
      <c r="T497" s="120">
        <f t="shared" si="829"/>
        <v>0</v>
      </c>
      <c r="U497" s="120">
        <f t="shared" si="829"/>
        <v>0</v>
      </c>
      <c r="V497" s="120">
        <f t="shared" si="829"/>
        <v>0</v>
      </c>
      <c r="W497" s="120">
        <f t="shared" si="829"/>
        <v>0</v>
      </c>
      <c r="X497" s="120">
        <f t="shared" si="829"/>
        <v>0</v>
      </c>
      <c r="Y497" s="120">
        <f t="shared" si="829"/>
        <v>0</v>
      </c>
      <c r="Z497" s="120">
        <f t="shared" si="829"/>
        <v>0</v>
      </c>
      <c r="AA497" s="120">
        <f t="shared" si="829"/>
        <v>0</v>
      </c>
      <c r="AB497" s="120">
        <f t="shared" si="829"/>
        <v>0</v>
      </c>
    </row>
    <row r="498" spans="1:28" x14ac:dyDescent="0.35">
      <c r="A498" s="213"/>
      <c r="I498" s="23"/>
      <c r="J498" s="23"/>
      <c r="K498" s="23"/>
      <c r="L498" s="23"/>
      <c r="M498" s="23"/>
      <c r="N498" s="23"/>
      <c r="Q498" s="213"/>
      <c r="R498" s="121" t="str">
        <f t="shared" si="824"/>
        <v>Tuition (Fall)</v>
      </c>
      <c r="S498" s="120">
        <f t="shared" ref="S498:AB498" si="830">IF(RIGHT($R498,8)="(Summer)",0,ROUND(S479*HLOOKUP(S491,CoPI_5_GRARateTbl,5,FALSE)/2,0))</f>
        <v>0</v>
      </c>
      <c r="T498" s="120">
        <f t="shared" si="830"/>
        <v>0</v>
      </c>
      <c r="U498" s="120">
        <f t="shared" si="830"/>
        <v>0</v>
      </c>
      <c r="V498" s="120">
        <f t="shared" si="830"/>
        <v>0</v>
      </c>
      <c r="W498" s="120">
        <f t="shared" si="830"/>
        <v>0</v>
      </c>
      <c r="X498" s="120">
        <f t="shared" si="830"/>
        <v>0</v>
      </c>
      <c r="Y498" s="120">
        <f t="shared" si="830"/>
        <v>0</v>
      </c>
      <c r="Z498" s="120">
        <f t="shared" si="830"/>
        <v>0</v>
      </c>
      <c r="AA498" s="120">
        <f t="shared" si="830"/>
        <v>0</v>
      </c>
      <c r="AB498" s="120">
        <f t="shared" si="830"/>
        <v>0</v>
      </c>
    </row>
    <row r="499" spans="1:28" x14ac:dyDescent="0.35">
      <c r="A499" s="222" t="s">
        <v>88</v>
      </c>
      <c r="B499" s="104" t="str">
        <f t="shared" ref="B499:L499" si="831">IF(AND(B500=$AE$5,$O501=9),$AE$3,IF(AND(B500=$AF$5,$O501=9),$AF$3,IF(AND(B500=$AG$5,$O501=9),$AG$3,IF(AND(B500=$AH$5,$O501=9),$AH$3,IF(AND(B500=$AI$5,$O501=9),$AI$3,IF(AND(B500=$AJ$5,$O501=9),$AJ$3,IF(AND(B500=$AK$5,$O501=9),$AK$3,IF(AND(B500=$AL$5,$O501=9),$AL$3,IF(AND(B500=$AM$5,$O501=9),$AM$3,IF(AND(B500=$AN$5,$O501=9),$AN$3,IF(AND(B500=$AO$5,$O501=9),$AO$3,IF(AND(B500=$AP$5,$O501=9),$AJ$3,IF(AND(B500=$AE$4,$O501=12),$AE$3,IF(AND(B500=$AF$4,$O501=12),$AF$3,IF(AND(B500=$AG$4,$O501=12),$AG$3,IF(AND(B500=$AH$4,$O501=12),$AH$3,IF(AND(B500=$AI$4,$O501=12),$AI$3,IF(AND(B500=$AJ$4,$O501=12),$AJ$3,IF(AND(B500=$AK$4,$O501=12),$AK$3,IF(AND(B500=$AL$4,$O501=12),$AL$3,IF(AND(B500=$AM$4,$O501=12),$AM$3,IF(AND(B500=$AN$4,$O501=12),$AN$3,IF(AND(B500=$AO$4,$O501=12),$AO$3,IF(AND(B500=$AP$4,$O501=12),$AJ$3," "))))))))))))))))))))))))</f>
        <v xml:space="preserve"> </v>
      </c>
      <c r="C499" s="104" t="str">
        <f t="shared" si="831"/>
        <v>Year 1</v>
      </c>
      <c r="D499" s="104" t="str">
        <f t="shared" si="831"/>
        <v>Year 2</v>
      </c>
      <c r="E499" s="104" t="str">
        <f t="shared" si="831"/>
        <v>Year 3</v>
      </c>
      <c r="F499" s="104" t="str">
        <f t="shared" si="831"/>
        <v>Year 4</v>
      </c>
      <c r="G499" s="104" t="str">
        <f t="shared" si="831"/>
        <v>Year 5</v>
      </c>
      <c r="H499" s="104" t="str">
        <f t="shared" si="831"/>
        <v>Year 6</v>
      </c>
      <c r="I499" s="104" t="str">
        <f t="shared" si="831"/>
        <v>Year 7</v>
      </c>
      <c r="J499" s="104" t="str">
        <f t="shared" si="831"/>
        <v>Year 8</v>
      </c>
      <c r="K499" s="104" t="str">
        <f t="shared" si="831"/>
        <v>Year 9</v>
      </c>
      <c r="L499" s="104" t="str">
        <f t="shared" si="831"/>
        <v>Year 10</v>
      </c>
      <c r="M499" s="104" t="str">
        <f t="shared" ref="M499" si="832">IF(AND(M500=$AE$5,$O501=9),$AE$3,IF(AND(M500=$AF$5,$O501=9),$AF$3,IF(AND(M500=$AG$5,$O501=9),$AG$3,IF(AND(M500=$AH$5,$O501=9),$AH$3,IF(AND(M500=$AI$5,$O501=9),$AI$3,IF(AND(M500=$AJ$5,$O501=9),$AJ$3,IF(AND(M500=$AK$5,$O501=9),$AK$3,IF(AND(M500=$AL$5,$O501=9),$AL$3,IF(AND(M500=$AM$5,$O501=9),$AM$3,IF(AND(M500=$AN$5,$O501=9),$AN$3,IF(AND(M500=$AO$5,$O501=9),$AO$3,IF(AND(M500=$AP$5,$O501=9),$AJ$3,IF(AND(M500=$AE$4,$O501=12),$AE$3,IF(AND(M500=$AF$4,$O501=12),$AF$3,IF(AND(M500=$AG$4,$O501=12),$AG$3,IF(AND(M500=$AH$4,$O501=12),$AH$3,IF(AND(M500=$AI$4,$O501=12),$AI$3,IF(AND(M500=$AJ$4,$O501=12),$AJ$3,IF(AND(M500=$AK$4,$O501=12),$AK$3,IF(AND(M500=$AL$4,$O501=12),$AL$3,IF(AND(M500=$AM$4,$O501=12),$AM$3,IF(AND(M500=$AN$4,$O501=12),$AN$3,IF(AND(M500=$AO$4,$O501=12),$AO$3,IF(AND(M500=$AP$4,$O501=12),$AJ$3," "))))))))))))))))))))))))</f>
        <v>Year 11</v>
      </c>
      <c r="N499" s="104"/>
      <c r="Q499" s="213"/>
      <c r="R499" s="121" t="str">
        <f t="shared" si="824"/>
        <v>Tuition (Spring)</v>
      </c>
      <c r="S499" s="120">
        <f t="shared" ref="S499:AB499" si="833">IF(RIGHT($R499,8)="(Summer)",0,ROUND(S480*HLOOKUP(S492,CoPI_5_GRARateTbl,5,FALSE)/2,0))</f>
        <v>0</v>
      </c>
      <c r="T499" s="120">
        <f t="shared" si="833"/>
        <v>0</v>
      </c>
      <c r="U499" s="120">
        <f t="shared" si="833"/>
        <v>0</v>
      </c>
      <c r="V499" s="120">
        <f t="shared" si="833"/>
        <v>0</v>
      </c>
      <c r="W499" s="120">
        <f t="shared" si="833"/>
        <v>0</v>
      </c>
      <c r="X499" s="120">
        <f t="shared" si="833"/>
        <v>0</v>
      </c>
      <c r="Y499" s="120">
        <f t="shared" si="833"/>
        <v>0</v>
      </c>
      <c r="Z499" s="120">
        <f t="shared" si="833"/>
        <v>0</v>
      </c>
      <c r="AA499" s="120">
        <f t="shared" si="833"/>
        <v>0</v>
      </c>
      <c r="AB499" s="120">
        <f t="shared" si="833"/>
        <v>0</v>
      </c>
    </row>
    <row r="500" spans="1:28" x14ac:dyDescent="0.35">
      <c r="A500" s="219" t="s">
        <v>29</v>
      </c>
      <c r="B500" s="55" t="str">
        <f t="shared" ref="B500:I500" si="834">+N$2</f>
        <v>FY2023</v>
      </c>
      <c r="C500" s="55" t="str">
        <f t="shared" si="834"/>
        <v>FY2024</v>
      </c>
      <c r="D500" s="55" t="str">
        <f t="shared" si="834"/>
        <v>FY2025</v>
      </c>
      <c r="E500" s="55" t="str">
        <f t="shared" si="834"/>
        <v>FY2026</v>
      </c>
      <c r="F500" s="55" t="str">
        <f t="shared" si="834"/>
        <v>FY2027</v>
      </c>
      <c r="G500" s="55" t="str">
        <f t="shared" si="834"/>
        <v>FY2028</v>
      </c>
      <c r="H500" s="55" t="str">
        <f t="shared" si="834"/>
        <v>FY2029</v>
      </c>
      <c r="I500" s="55" t="str">
        <f t="shared" si="834"/>
        <v>FY2030</v>
      </c>
      <c r="J500" s="55" t="str">
        <f t="shared" ref="J500" si="835">+V$2</f>
        <v>FY2031</v>
      </c>
      <c r="K500" s="55" t="str">
        <f t="shared" ref="K500:M500" si="836">+W$2</f>
        <v>FY2032</v>
      </c>
      <c r="L500" s="55" t="str">
        <f t="shared" si="836"/>
        <v>FY2033</v>
      </c>
      <c r="M500" s="55" t="str">
        <f t="shared" si="836"/>
        <v>FY2034</v>
      </c>
      <c r="N500" s="55"/>
      <c r="O500" s="32" t="s">
        <v>20</v>
      </c>
      <c r="P500" s="89" t="s">
        <v>64</v>
      </c>
      <c r="Q500" s="223"/>
      <c r="R500" s="121" t="str">
        <f t="shared" si="824"/>
        <v>Tuition (Summer)</v>
      </c>
      <c r="S500" s="120">
        <f t="shared" ref="S500:AB500" si="837">IF(RIGHT($R500,8)="(Summer)",0,ROUND(S481*HLOOKUP(S493,CoPI_5_GRARateTbl,5,FALSE)/2,0))</f>
        <v>0</v>
      </c>
      <c r="T500" s="120">
        <f t="shared" si="837"/>
        <v>0</v>
      </c>
      <c r="U500" s="120">
        <f t="shared" si="837"/>
        <v>0</v>
      </c>
      <c r="V500" s="120">
        <f t="shared" si="837"/>
        <v>0</v>
      </c>
      <c r="W500" s="120">
        <f t="shared" si="837"/>
        <v>0</v>
      </c>
      <c r="X500" s="120">
        <f t="shared" si="837"/>
        <v>0</v>
      </c>
      <c r="Y500" s="120">
        <f t="shared" si="837"/>
        <v>0</v>
      </c>
      <c r="Z500" s="120">
        <f t="shared" si="837"/>
        <v>0</v>
      </c>
      <c r="AA500" s="120">
        <f t="shared" si="837"/>
        <v>0</v>
      </c>
      <c r="AB500" s="120">
        <f t="shared" si="837"/>
        <v>0</v>
      </c>
    </row>
    <row r="501" spans="1:28" x14ac:dyDescent="0.35">
      <c r="A501" s="220" t="str">
        <f>CONCATENATE("Base Salary: ",O501," month term")</f>
        <v>Base Salary: 12 month term</v>
      </c>
      <c r="B501" s="314">
        <v>0</v>
      </c>
      <c r="C501" s="109">
        <f>B501</f>
        <v>0</v>
      </c>
      <c r="D501" s="109">
        <f t="shared" ref="D501:M501" si="838">ROUND(+C501*(1+$P$501),0)</f>
        <v>0</v>
      </c>
      <c r="E501" s="109">
        <f t="shared" si="838"/>
        <v>0</v>
      </c>
      <c r="F501" s="109">
        <f t="shared" si="838"/>
        <v>0</v>
      </c>
      <c r="G501" s="109">
        <f t="shared" si="838"/>
        <v>0</v>
      </c>
      <c r="H501" s="109">
        <f t="shared" si="838"/>
        <v>0</v>
      </c>
      <c r="I501" s="109">
        <f t="shared" si="838"/>
        <v>0</v>
      </c>
      <c r="J501" s="109">
        <f t="shared" si="838"/>
        <v>0</v>
      </c>
      <c r="K501" s="109">
        <f t="shared" si="838"/>
        <v>0</v>
      </c>
      <c r="L501" s="109">
        <f t="shared" si="838"/>
        <v>0</v>
      </c>
      <c r="M501" s="109">
        <f t="shared" si="838"/>
        <v>0</v>
      </c>
      <c r="N501" s="109"/>
      <c r="O501" s="311">
        <v>12</v>
      </c>
      <c r="P501" s="312">
        <v>0.03</v>
      </c>
      <c r="Q501" s="225"/>
      <c r="R501" s="121" t="str">
        <f t="shared" si="824"/>
        <v>Health Insurance (Fall)</v>
      </c>
      <c r="S501" s="120">
        <f t="shared" ref="S501:AB501" si="839">IF(RIGHT($R501,8)="(Summer)",0,ROUND(S479*HLOOKUP(S491,CoPI_5_GRARateTbl,6,FALSE)/2,0))</f>
        <v>0</v>
      </c>
      <c r="T501" s="120">
        <f t="shared" si="839"/>
        <v>0</v>
      </c>
      <c r="U501" s="120">
        <f t="shared" si="839"/>
        <v>0</v>
      </c>
      <c r="V501" s="120">
        <f t="shared" si="839"/>
        <v>0</v>
      </c>
      <c r="W501" s="120">
        <f t="shared" si="839"/>
        <v>0</v>
      </c>
      <c r="X501" s="120">
        <f t="shared" si="839"/>
        <v>0</v>
      </c>
      <c r="Y501" s="120">
        <f t="shared" si="839"/>
        <v>0</v>
      </c>
      <c r="Z501" s="120">
        <f t="shared" si="839"/>
        <v>0</v>
      </c>
      <c r="AA501" s="120">
        <f t="shared" si="839"/>
        <v>0</v>
      </c>
      <c r="AB501" s="120">
        <f t="shared" si="839"/>
        <v>0</v>
      </c>
    </row>
    <row r="502" spans="1:28" x14ac:dyDescent="0.35">
      <c r="A502" s="220" t="s">
        <v>44</v>
      </c>
      <c r="B502" s="313">
        <v>0</v>
      </c>
      <c r="C502" s="313">
        <v>0</v>
      </c>
      <c r="D502" s="313">
        <v>0</v>
      </c>
      <c r="E502" s="313">
        <v>0</v>
      </c>
      <c r="F502" s="313">
        <v>0</v>
      </c>
      <c r="G502" s="313">
        <v>0</v>
      </c>
      <c r="H502" s="313">
        <v>0</v>
      </c>
      <c r="I502" s="313">
        <v>0</v>
      </c>
      <c r="J502" s="313">
        <v>0</v>
      </c>
      <c r="K502" s="313">
        <v>0</v>
      </c>
      <c r="L502" s="313">
        <v>0</v>
      </c>
      <c r="M502" s="313">
        <v>0</v>
      </c>
      <c r="N502" s="402"/>
      <c r="O502" s="25"/>
      <c r="P502" s="25"/>
      <c r="Q502" s="220"/>
      <c r="R502" s="121" t="str">
        <f t="shared" si="824"/>
        <v>Health Insurance (Spring)</v>
      </c>
      <c r="S502" s="120">
        <f t="shared" ref="S502:AB502" si="840">IF(RIGHT($R502,8)="(Summer)",0,ROUND(S480*HLOOKUP(S492,CoPI_5_GRARateTbl,6,FALSE)/2,0))</f>
        <v>0</v>
      </c>
      <c r="T502" s="120">
        <f t="shared" si="840"/>
        <v>0</v>
      </c>
      <c r="U502" s="120">
        <f t="shared" si="840"/>
        <v>0</v>
      </c>
      <c r="V502" s="120">
        <f t="shared" si="840"/>
        <v>0</v>
      </c>
      <c r="W502" s="120">
        <f t="shared" si="840"/>
        <v>0</v>
      </c>
      <c r="X502" s="120">
        <f t="shared" si="840"/>
        <v>0</v>
      </c>
      <c r="Y502" s="120">
        <f t="shared" si="840"/>
        <v>0</v>
      </c>
      <c r="Z502" s="120">
        <f t="shared" si="840"/>
        <v>0</v>
      </c>
      <c r="AA502" s="120">
        <f t="shared" si="840"/>
        <v>0</v>
      </c>
      <c r="AB502" s="120">
        <f t="shared" si="840"/>
        <v>0</v>
      </c>
    </row>
    <row r="503" spans="1:28" x14ac:dyDescent="0.35">
      <c r="A503" s="220" t="str">
        <f>CONCATENATE("FTE for ",O501," Months")</f>
        <v>FTE for 12 Months</v>
      </c>
      <c r="B503" s="395">
        <f t="shared" ref="B503:L503" si="841">+B502/$O501</f>
        <v>0</v>
      </c>
      <c r="C503" s="395">
        <f t="shared" si="841"/>
        <v>0</v>
      </c>
      <c r="D503" s="395">
        <f t="shared" si="841"/>
        <v>0</v>
      </c>
      <c r="E503" s="395">
        <f t="shared" si="841"/>
        <v>0</v>
      </c>
      <c r="F503" s="395">
        <f t="shared" si="841"/>
        <v>0</v>
      </c>
      <c r="G503" s="395">
        <f t="shared" si="841"/>
        <v>0</v>
      </c>
      <c r="H503" s="395">
        <f t="shared" si="841"/>
        <v>0</v>
      </c>
      <c r="I503" s="395">
        <f t="shared" si="841"/>
        <v>0</v>
      </c>
      <c r="J503" s="395">
        <f t="shared" si="841"/>
        <v>0</v>
      </c>
      <c r="K503" s="395">
        <f t="shared" si="841"/>
        <v>0</v>
      </c>
      <c r="L503" s="395">
        <f t="shared" si="841"/>
        <v>0</v>
      </c>
      <c r="M503" s="395">
        <f t="shared" ref="M503" si="842">+M502/$O501</f>
        <v>0</v>
      </c>
      <c r="N503" s="403"/>
      <c r="O503" s="89"/>
      <c r="P503" s="89"/>
      <c r="Q503" s="223"/>
      <c r="R503" s="121" t="str">
        <f t="shared" si="824"/>
        <v>Health Insurance (Summer)</v>
      </c>
      <c r="S503" s="120">
        <f t="shared" ref="S503:AB503" si="843">IF(RIGHT($R503,8)="(Summer)",0,ROUND(S481*HLOOKUP(S493,CoPI_5_GRARateTbl,6,FALSE)/2,0))</f>
        <v>0</v>
      </c>
      <c r="T503" s="120">
        <f t="shared" si="843"/>
        <v>0</v>
      </c>
      <c r="U503" s="120">
        <f t="shared" si="843"/>
        <v>0</v>
      </c>
      <c r="V503" s="120">
        <f t="shared" si="843"/>
        <v>0</v>
      </c>
      <c r="W503" s="120">
        <f t="shared" si="843"/>
        <v>0</v>
      </c>
      <c r="X503" s="120">
        <f t="shared" si="843"/>
        <v>0</v>
      </c>
      <c r="Y503" s="120">
        <f t="shared" si="843"/>
        <v>0</v>
      </c>
      <c r="Z503" s="120">
        <f t="shared" si="843"/>
        <v>0</v>
      </c>
      <c r="AA503" s="120">
        <f t="shared" si="843"/>
        <v>0</v>
      </c>
      <c r="AB503" s="120">
        <f t="shared" si="843"/>
        <v>0</v>
      </c>
    </row>
    <row r="504" spans="1:28" ht="15" thickBot="1" x14ac:dyDescent="0.4">
      <c r="A504" s="220" t="s">
        <v>21</v>
      </c>
      <c r="B504" s="110">
        <f t="shared" ref="B504:K504" si="844">ROUND((B501*B503*$Q$35)+(C501*B503*$Q$36),0)</f>
        <v>0</v>
      </c>
      <c r="C504" s="110">
        <f t="shared" si="844"/>
        <v>0</v>
      </c>
      <c r="D504" s="110">
        <f t="shared" si="844"/>
        <v>0</v>
      </c>
      <c r="E504" s="110">
        <f t="shared" si="844"/>
        <v>0</v>
      </c>
      <c r="F504" s="110">
        <f t="shared" si="844"/>
        <v>0</v>
      </c>
      <c r="G504" s="110">
        <f t="shared" si="844"/>
        <v>0</v>
      </c>
      <c r="H504" s="110">
        <f t="shared" si="844"/>
        <v>0</v>
      </c>
      <c r="I504" s="110">
        <f t="shared" si="844"/>
        <v>0</v>
      </c>
      <c r="J504" s="110">
        <f t="shared" si="844"/>
        <v>0</v>
      </c>
      <c r="K504" s="110">
        <f t="shared" si="844"/>
        <v>0</v>
      </c>
      <c r="L504" s="110">
        <f>ROUND((L501*L503*$Q$35)+(N501*L503*$Q$36),0)</f>
        <v>0</v>
      </c>
      <c r="M504" s="110">
        <f>ROUND((M501*M503*$Q$35)+(O501*M503*$Q$36),0)</f>
        <v>0</v>
      </c>
      <c r="N504" s="404"/>
      <c r="O504" s="89"/>
      <c r="P504" s="89"/>
      <c r="Q504" s="223"/>
      <c r="R504" s="38" t="s">
        <v>31</v>
      </c>
      <c r="S504" s="39">
        <f>SUM(S495:S503)</f>
        <v>0</v>
      </c>
      <c r="T504" s="39">
        <f>SUM(T495:T503)</f>
        <v>0</v>
      </c>
      <c r="U504" s="39">
        <f>SUM(U495:U503)</f>
        <v>0</v>
      </c>
      <c r="V504" s="39">
        <f>SUM(V495:V503)</f>
        <v>0</v>
      </c>
      <c r="W504" s="39">
        <f t="shared" ref="W504" si="845">SUM(W495:W503)</f>
        <v>0</v>
      </c>
      <c r="X504" s="39">
        <f t="shared" ref="X504" si="846">SUM(X495:X503)</f>
        <v>0</v>
      </c>
      <c r="Y504" s="39">
        <f t="shared" ref="Y504" si="847">SUM(Y495:Y503)</f>
        <v>0</v>
      </c>
      <c r="Z504" s="39">
        <f t="shared" ref="Z504" si="848">SUM(Z495:Z503)</f>
        <v>0</v>
      </c>
      <c r="AA504" s="39">
        <f t="shared" ref="AA504" si="849">SUM(AA495:AA503)</f>
        <v>0</v>
      </c>
      <c r="AB504" s="39">
        <f t="shared" ref="AB504" si="850">SUM(AB495:AB503)</f>
        <v>0</v>
      </c>
    </row>
    <row r="505" spans="1:28" x14ac:dyDescent="0.35">
      <c r="Q505" s="223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</row>
  </sheetData>
  <conditionalFormatting sqref="B389:F389 N65 N72 N94 N146 N153 N175 N256 N337 N227 N234 N308 N315 N477 N389 N396 N470 N499 N418">
    <cfRule type="notContainsBlanks" dxfId="73" priority="306">
      <formula>LEN(TRIM(B65))&gt;0</formula>
    </cfRule>
  </conditionalFormatting>
  <conditionalFormatting sqref="B52:C52 B75:G75 B97:G97 B125:C125 B237:G237 B60:N60 B44:N44 I75:N75 B68:N68 I97:N97 B133:N133 B141:N141 B156:N156 B149:N149 B178:N178 B206:N206 B214:N214 B222:N222 I237:N237 B230:N230 B259:N259 B287:N287 B295:N295 B303:N303 B318:N318 B311:N311 B340:N340 B368:N368 B376:N376 B384:N384 B399:N399 B392:N392 B421:N421 B449:N449 B457:N457 B465:N465 B480:N480 B473:N473 B502:N502">
    <cfRule type="expression" dxfId="72" priority="305">
      <formula>LEFT(B41,4)="Year"</formula>
    </cfRule>
  </conditionalFormatting>
  <conditionalFormatting sqref="H75 H97 H237">
    <cfRule type="expression" dxfId="71" priority="233">
      <formula>LEFT(H72,4)="Year"</formula>
    </cfRule>
  </conditionalFormatting>
  <conditionalFormatting sqref="H389:K389">
    <cfRule type="notContainsBlanks" dxfId="70" priority="133">
      <formula>LEN(TRIM(H389))&gt;0</formula>
    </cfRule>
  </conditionalFormatting>
  <conditionalFormatting sqref="D52:N52">
    <cfRule type="expression" dxfId="69" priority="90">
      <formula>LEFT(D49,4)="Year"</formula>
    </cfRule>
  </conditionalFormatting>
  <conditionalFormatting sqref="D125:N125">
    <cfRule type="expression" dxfId="68" priority="89">
      <formula>LEFT(D122,4)="Year"</formula>
    </cfRule>
  </conditionalFormatting>
  <conditionalFormatting sqref="G389">
    <cfRule type="notContainsBlanks" dxfId="67" priority="76">
      <formula>LEN(TRIM(G389))&gt;0</formula>
    </cfRule>
  </conditionalFormatting>
  <conditionalFormatting sqref="L389:M389">
    <cfRule type="notContainsBlanks" dxfId="66" priority="58">
      <formula>LEN(TRIM(L389))&gt;0</formula>
    </cfRule>
  </conditionalFormatting>
  <conditionalFormatting sqref="B41:N41">
    <cfRule type="notContainsBlanks" dxfId="65" priority="52">
      <formula>LEN(TRIM(B41))&gt;0</formula>
    </cfRule>
  </conditionalFormatting>
  <conditionalFormatting sqref="B65:M65">
    <cfRule type="notContainsBlanks" dxfId="64" priority="49">
      <formula>LEN(TRIM(B65))&gt;0</formula>
    </cfRule>
  </conditionalFormatting>
  <conditionalFormatting sqref="B72:M72">
    <cfRule type="notContainsBlanks" dxfId="63" priority="48">
      <formula>LEN(TRIM(B72))&gt;0</formula>
    </cfRule>
  </conditionalFormatting>
  <conditionalFormatting sqref="B94:M94">
    <cfRule type="notContainsBlanks" dxfId="62" priority="47">
      <formula>LEN(TRIM(B94))&gt;0</formula>
    </cfRule>
  </conditionalFormatting>
  <conditionalFormatting sqref="B146:M146">
    <cfRule type="notContainsBlanks" dxfId="61" priority="43">
      <formula>LEN(TRIM(B146))&gt;0</formula>
    </cfRule>
  </conditionalFormatting>
  <conditionalFormatting sqref="B153:M153">
    <cfRule type="notContainsBlanks" dxfId="60" priority="42">
      <formula>LEN(TRIM(B153))&gt;0</formula>
    </cfRule>
  </conditionalFormatting>
  <conditionalFormatting sqref="B175:M175">
    <cfRule type="notContainsBlanks" dxfId="59" priority="41">
      <formula>LEN(TRIM(B175))&gt;0</formula>
    </cfRule>
  </conditionalFormatting>
  <conditionalFormatting sqref="B227:M227">
    <cfRule type="notContainsBlanks" dxfId="58" priority="37">
      <formula>LEN(TRIM(B227))&gt;0</formula>
    </cfRule>
  </conditionalFormatting>
  <conditionalFormatting sqref="B234:M234">
    <cfRule type="notContainsBlanks" dxfId="57" priority="36">
      <formula>LEN(TRIM(B234))&gt;0</formula>
    </cfRule>
  </conditionalFormatting>
  <conditionalFormatting sqref="B256:M256">
    <cfRule type="notContainsBlanks" dxfId="56" priority="35">
      <formula>LEN(TRIM(B256))&gt;0</formula>
    </cfRule>
  </conditionalFormatting>
  <conditionalFormatting sqref="B308:M308">
    <cfRule type="notContainsBlanks" dxfId="55" priority="31">
      <formula>LEN(TRIM(B308))&gt;0</formula>
    </cfRule>
  </conditionalFormatting>
  <conditionalFormatting sqref="B315:M315">
    <cfRule type="notContainsBlanks" dxfId="54" priority="30">
      <formula>LEN(TRIM(B315))&gt;0</formula>
    </cfRule>
  </conditionalFormatting>
  <conditionalFormatting sqref="B337:M337">
    <cfRule type="notContainsBlanks" dxfId="53" priority="29">
      <formula>LEN(TRIM(B337))&gt;0</formula>
    </cfRule>
  </conditionalFormatting>
  <conditionalFormatting sqref="B396:M396">
    <cfRule type="notContainsBlanks" dxfId="52" priority="25">
      <formula>LEN(TRIM(B396))&gt;0</formula>
    </cfRule>
  </conditionalFormatting>
  <conditionalFormatting sqref="B418:M418">
    <cfRule type="notContainsBlanks" dxfId="51" priority="24">
      <formula>LEN(TRIM(B418))&gt;0</formula>
    </cfRule>
  </conditionalFormatting>
  <conditionalFormatting sqref="B470:M470">
    <cfRule type="notContainsBlanks" dxfId="50" priority="20">
      <formula>LEN(TRIM(B470))&gt;0</formula>
    </cfRule>
  </conditionalFormatting>
  <conditionalFormatting sqref="B477:M477">
    <cfRule type="notContainsBlanks" dxfId="49" priority="19">
      <formula>LEN(TRIM(B477))&gt;0</formula>
    </cfRule>
  </conditionalFormatting>
  <conditionalFormatting sqref="B499:M499">
    <cfRule type="notContainsBlanks" dxfId="48" priority="18">
      <formula>LEN(TRIM(B499))&gt;0</formula>
    </cfRule>
  </conditionalFormatting>
  <conditionalFormatting sqref="B49:N49">
    <cfRule type="notContainsBlanks" dxfId="47" priority="17">
      <formula>LEN(TRIM(B49))&gt;0</formula>
    </cfRule>
  </conditionalFormatting>
  <conditionalFormatting sqref="B57:N57">
    <cfRule type="notContainsBlanks" dxfId="46" priority="16">
      <formula>LEN(TRIM(B57))&gt;0</formula>
    </cfRule>
  </conditionalFormatting>
  <conditionalFormatting sqref="B122:N122">
    <cfRule type="notContainsBlanks" dxfId="45" priority="15">
      <formula>LEN(TRIM(B122))&gt;0</formula>
    </cfRule>
  </conditionalFormatting>
  <conditionalFormatting sqref="B130:N130">
    <cfRule type="notContainsBlanks" dxfId="44" priority="14">
      <formula>LEN(TRIM(B130))&gt;0</formula>
    </cfRule>
  </conditionalFormatting>
  <conditionalFormatting sqref="B138:N138">
    <cfRule type="notContainsBlanks" dxfId="43" priority="13">
      <formula>LEN(TRIM(B138))&gt;0</formula>
    </cfRule>
  </conditionalFormatting>
  <conditionalFormatting sqref="B203:N203">
    <cfRule type="notContainsBlanks" dxfId="42" priority="12">
      <formula>LEN(TRIM(B203))&gt;0</formula>
    </cfRule>
  </conditionalFormatting>
  <conditionalFormatting sqref="B211:N211">
    <cfRule type="notContainsBlanks" dxfId="41" priority="11">
      <formula>LEN(TRIM(B211))&gt;0</formula>
    </cfRule>
  </conditionalFormatting>
  <conditionalFormatting sqref="B219:N219">
    <cfRule type="notContainsBlanks" dxfId="40" priority="10">
      <formula>LEN(TRIM(B219))&gt;0</formula>
    </cfRule>
  </conditionalFormatting>
  <conditionalFormatting sqref="B284:N284">
    <cfRule type="notContainsBlanks" dxfId="39" priority="9">
      <formula>LEN(TRIM(B284))&gt;0</formula>
    </cfRule>
  </conditionalFormatting>
  <conditionalFormatting sqref="B292:N292">
    <cfRule type="notContainsBlanks" dxfId="38" priority="8">
      <formula>LEN(TRIM(B292))&gt;0</formula>
    </cfRule>
  </conditionalFormatting>
  <conditionalFormatting sqref="B300:N300">
    <cfRule type="notContainsBlanks" dxfId="37" priority="7">
      <formula>LEN(TRIM(B300))&gt;0</formula>
    </cfRule>
  </conditionalFormatting>
  <conditionalFormatting sqref="B365:N365">
    <cfRule type="notContainsBlanks" dxfId="36" priority="6">
      <formula>LEN(TRIM(B365))&gt;0</formula>
    </cfRule>
  </conditionalFormatting>
  <conditionalFormatting sqref="B373:N373">
    <cfRule type="notContainsBlanks" dxfId="35" priority="5">
      <formula>LEN(TRIM(B373))&gt;0</formula>
    </cfRule>
  </conditionalFormatting>
  <conditionalFormatting sqref="B381:N381">
    <cfRule type="notContainsBlanks" dxfId="34" priority="4">
      <formula>LEN(TRIM(B381))&gt;0</formula>
    </cfRule>
  </conditionalFormatting>
  <conditionalFormatting sqref="B446:N446">
    <cfRule type="notContainsBlanks" dxfId="33" priority="3">
      <formula>LEN(TRIM(B446))&gt;0</formula>
    </cfRule>
  </conditionalFormatting>
  <conditionalFormatting sqref="B454:N454">
    <cfRule type="notContainsBlanks" dxfId="32" priority="2">
      <formula>LEN(TRIM(B454))&gt;0</formula>
    </cfRule>
  </conditionalFormatting>
  <conditionalFormatting sqref="B462:N462">
    <cfRule type="notContainsBlanks" dxfId="31" priority="1">
      <formula>LEN(TRIM(B462))&gt;0</formula>
    </cfRule>
  </conditionalFormatting>
  <dataValidations disablePrompts="1" count="7">
    <dataValidation type="list" allowBlank="1" showInputMessage="1" showErrorMessage="1" sqref="B28:B29 B25 B109:B110 B106 B271:B272 B268 B433:B434 B349 B352:B353 B190:B191 B187 B430" xr:uid="{00000000-0002-0000-0000-000000000000}">
      <formula1>$AE$12:$AE$13</formula1>
    </dataValidation>
    <dataValidation type="list" allowBlank="1" showInputMessage="1" showErrorMessage="1" sqref="B8" xr:uid="{00000000-0002-0000-0000-000001000000}">
      <formula1>$AD$12:$AD$13</formula1>
    </dataValidation>
    <dataValidation type="list" allowBlank="1" showInputMessage="1" showErrorMessage="1" sqref="B6" xr:uid="{00000000-0002-0000-0000-000002000000}">
      <formula1>$AC$12:$AC$13</formula1>
    </dataValidation>
    <dataValidation type="list" allowBlank="1" showInputMessage="1" sqref="B9" xr:uid="{00000000-0002-0000-0000-000003000000}">
      <formula1>$AG$12:$AG$13</formula1>
    </dataValidation>
    <dataValidation type="list" allowBlank="1" showInputMessage="1" showErrorMessage="1" sqref="B7" xr:uid="{00000000-0002-0000-0000-000004000000}">
      <formula1>$AH$12:$AH$13</formula1>
    </dataValidation>
    <dataValidation type="list" allowBlank="1" showInputMessage="1" showErrorMessage="1" sqref="B26 B188 B269 B350 B431 B107" xr:uid="{00000000-0002-0000-0000-000005000000}">
      <formula1>$AJ$12:$AJ$13</formula1>
    </dataValidation>
    <dataValidation type="list" allowBlank="1" showInputMessage="1" sqref="B3" xr:uid="{00000000-0002-0000-0000-000006000000}">
      <formula1>$BD$2:$BD$4</formula1>
    </dataValidation>
  </dataValidations>
  <hyperlinks>
    <hyperlink ref="N1" r:id="rId1" xr:uid="{00000000-0004-0000-0000-000000000000}"/>
    <hyperlink ref="O14" r:id="rId2" xr:uid="{445781B1-E888-4E5A-9821-9E9C4DA6CE97}"/>
    <hyperlink ref="O17" r:id="rId3" xr:uid="{295C1556-9A4B-4D59-A813-C50F049F5EDD}"/>
  </hyperlinks>
  <pageMargins left="0.7" right="0.7" top="0.75" bottom="0.75" header="0.3" footer="0.3"/>
  <pageSetup scale="66" fitToHeight="0" orientation="portrait" r:id="rId4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T66"/>
  <sheetViews>
    <sheetView zoomScale="130" zoomScaleNormal="130" workbookViewId="0">
      <selection activeCell="E16" sqref="E16"/>
    </sheetView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9.7265625" style="2" customWidth="1"/>
    <col min="14" max="14" width="18.54296875" style="2" bestFit="1" customWidth="1"/>
    <col min="15" max="15" width="6.81640625" style="2" bestFit="1" customWidth="1"/>
    <col min="16" max="16" width="9.81640625" style="2" customWidth="1"/>
    <col min="17" max="18" width="9.7265625" style="1" customWidth="1"/>
    <col min="19" max="16384" width="9.1796875" style="1"/>
  </cols>
  <sheetData>
    <row r="1" spans="1:19" ht="13" x14ac:dyDescent="0.3">
      <c r="A1" s="67">
        <f>+'Lead Budget'!A1</f>
        <v>0</v>
      </c>
    </row>
    <row r="2" spans="1:19" ht="13" x14ac:dyDescent="0.3">
      <c r="A2" s="67" t="str">
        <f>+'Lead Budget'!A2</f>
        <v>NSF</v>
      </c>
    </row>
    <row r="3" spans="1:19" ht="12.75" customHeight="1" thickBot="1" x14ac:dyDescent="0.25"/>
    <row r="4" spans="1:19" ht="10.5" x14ac:dyDescent="0.25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9" ht="11" thickBot="1" x14ac:dyDescent="0.3">
      <c r="A5" s="68" t="str">
        <f ca="1">""&amp;MID('rates, dates, etc'!AR9,FIND("]",'rates, dates, etc'!AR9)+1,25)</f>
        <v>Consortium 2</v>
      </c>
      <c r="B5" s="243">
        <f>+'Lead Budget'!B5</f>
        <v>45108</v>
      </c>
      <c r="C5" s="243">
        <f>+'Lead Budget'!C5</f>
        <v>45474</v>
      </c>
      <c r="D5" s="243">
        <f>+'Lead Budget'!D5</f>
        <v>45839</v>
      </c>
      <c r="E5" s="243">
        <f>+'Lead Budget'!E5</f>
        <v>46204</v>
      </c>
      <c r="F5" s="243">
        <f>+'Lead Budget'!F5</f>
        <v>46569</v>
      </c>
      <c r="G5" s="243">
        <f>+'Lead Budget'!G5</f>
        <v>46935</v>
      </c>
      <c r="H5" s="243">
        <f>+'Lead Budget'!H5</f>
        <v>47300</v>
      </c>
      <c r="I5" s="243">
        <f>+'Lead Budget'!I5</f>
        <v>47665</v>
      </c>
      <c r="J5" s="243">
        <f>+'Lead Budget'!J5</f>
        <v>48030</v>
      </c>
      <c r="K5" s="243">
        <f>+'Lead Budget'!K5</f>
        <v>48396</v>
      </c>
      <c r="L5" s="244"/>
    </row>
    <row r="6" spans="1:19" ht="11" thickBot="1" x14ac:dyDescent="0.3">
      <c r="A6" s="71" t="s">
        <v>4</v>
      </c>
      <c r="B6" s="264">
        <f>+'Lead Budget'!B6</f>
        <v>45473</v>
      </c>
      <c r="C6" s="245">
        <f>+'Lead Budget'!C6</f>
        <v>45838</v>
      </c>
      <c r="D6" s="245">
        <f>+'Lead Budget'!D6</f>
        <v>46203</v>
      </c>
      <c r="E6" s="245">
        <f>+'Lead Budget'!E6</f>
        <v>46568</v>
      </c>
      <c r="F6" s="245">
        <f>+'Lead Budget'!F6</f>
        <v>46934</v>
      </c>
      <c r="G6" s="245">
        <f>+'Lead Budget'!G6</f>
        <v>47299</v>
      </c>
      <c r="H6" s="245">
        <f>+'Lead Budget'!H6</f>
        <v>47664</v>
      </c>
      <c r="I6" s="245">
        <f>+'Lead Budget'!I6</f>
        <v>48029</v>
      </c>
      <c r="J6" s="245">
        <f>+'Lead Budget'!J6</f>
        <v>48395</v>
      </c>
      <c r="K6" s="245">
        <f>+'Lead Budget'!K6</f>
        <v>48760</v>
      </c>
      <c r="L6" s="262" t="s">
        <v>5</v>
      </c>
    </row>
    <row r="7" spans="1:19" ht="10.5" x14ac:dyDescent="0.25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4">
        <v>0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0.5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ht="10.5" x14ac:dyDescent="0.25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0.5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ht="10.5" x14ac:dyDescent="0.25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0.5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1" thickBot="1" x14ac:dyDescent="0.3">
      <c r="A30" s="130" t="s">
        <v>108</v>
      </c>
      <c r="B30" s="131">
        <f>+B12+B20+B29</f>
        <v>0</v>
      </c>
      <c r="C30" s="131">
        <f>+C12+C20+C29</f>
        <v>0</v>
      </c>
      <c r="D30" s="131">
        <f>+D12+D20+D29</f>
        <v>0</v>
      </c>
      <c r="E30" s="131">
        <f t="shared" ref="E30:F30" si="7">+E12+E20+E29</f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ht="10.5" x14ac:dyDescent="0.25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0.5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ht="10.5" x14ac:dyDescent="0.25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0.5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ht="10.5" x14ac:dyDescent="0.25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0.5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ht="10.5" x14ac:dyDescent="0.25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0.5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1" thickBot="1" x14ac:dyDescent="0.3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 t="shared" ref="D55:E55" si="16">SUM(+D12+D20+D29+D34+D38+D45+D54)</f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1" thickBot="1" x14ac:dyDescent="0.3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1" thickBot="1" x14ac:dyDescent="0.3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ht="10.5" x14ac:dyDescent="0.25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ht="10.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ht="10.5" x14ac:dyDescent="0.25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0.5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T66"/>
  <sheetViews>
    <sheetView topLeftCell="A4" zoomScale="130" zoomScaleNormal="130" workbookViewId="0">
      <selection activeCell="E16" sqref="E16"/>
    </sheetView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9.7265625" style="2" customWidth="1"/>
    <col min="14" max="14" width="18.54296875" style="2" bestFit="1" customWidth="1"/>
    <col min="15" max="15" width="6.81640625" style="2" bestFit="1" customWidth="1"/>
    <col min="16" max="16" width="9.81640625" style="2" customWidth="1"/>
    <col min="17" max="18" width="9.7265625" style="1" customWidth="1"/>
    <col min="19" max="16384" width="9.1796875" style="1"/>
  </cols>
  <sheetData>
    <row r="1" spans="1:19" ht="13" x14ac:dyDescent="0.3">
      <c r="A1" s="67">
        <f>+'Lead Budget'!A1</f>
        <v>0</v>
      </c>
    </row>
    <row r="2" spans="1:19" ht="13" x14ac:dyDescent="0.3">
      <c r="A2" s="67" t="str">
        <f>+'Lead Budget'!A2</f>
        <v>NSF</v>
      </c>
    </row>
    <row r="3" spans="1:19" ht="12.75" customHeight="1" thickBot="1" x14ac:dyDescent="0.25"/>
    <row r="4" spans="1:19" ht="10.5" x14ac:dyDescent="0.25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69"/>
    </row>
    <row r="5" spans="1:19" ht="11" thickBot="1" x14ac:dyDescent="0.3">
      <c r="A5" s="68" t="str">
        <f ca="1">""&amp;MID('rates, dates, etc'!AR10,FIND("]",'rates, dates, etc'!AR10)+1,25)</f>
        <v>Consortium 3</v>
      </c>
      <c r="B5" s="70">
        <f>+'Lead Budget'!B5</f>
        <v>45108</v>
      </c>
      <c r="C5" s="70">
        <f>+'Lead Budget'!C5</f>
        <v>45474</v>
      </c>
      <c r="D5" s="70">
        <f>+'Lead Budget'!D5</f>
        <v>45839</v>
      </c>
      <c r="E5" s="70">
        <f>+'Lead Budget'!E5</f>
        <v>46204</v>
      </c>
      <c r="F5" s="70">
        <f>+'Lead Budget'!F5</f>
        <v>46569</v>
      </c>
      <c r="G5" s="70">
        <f>+'Lead Budget'!G5</f>
        <v>46935</v>
      </c>
      <c r="H5" s="70">
        <f>+'Lead Budget'!H5</f>
        <v>47300</v>
      </c>
      <c r="I5" s="70">
        <f>+'Lead Budget'!I5</f>
        <v>47665</v>
      </c>
      <c r="J5" s="70">
        <f>+'Lead Budget'!J5</f>
        <v>48030</v>
      </c>
      <c r="K5" s="70">
        <f>+'Lead Budget'!K5</f>
        <v>48396</v>
      </c>
      <c r="L5" s="85"/>
    </row>
    <row r="6" spans="1:19" ht="11" thickBot="1" x14ac:dyDescent="0.3">
      <c r="A6" s="71" t="s">
        <v>4</v>
      </c>
      <c r="B6" s="88">
        <f>+'Lead Budget'!B6</f>
        <v>45473</v>
      </c>
      <c r="C6" s="72">
        <f>+'Lead Budget'!C6</f>
        <v>45838</v>
      </c>
      <c r="D6" s="72">
        <f>+'Lead Budget'!D6</f>
        <v>46203</v>
      </c>
      <c r="E6" s="72">
        <f>+'Lead Budget'!E6</f>
        <v>46568</v>
      </c>
      <c r="F6" s="72">
        <f>+'Lead Budget'!F6</f>
        <v>46934</v>
      </c>
      <c r="G6" s="72">
        <f>+'Lead Budget'!G6</f>
        <v>47299</v>
      </c>
      <c r="H6" s="72">
        <f>+'Lead Budget'!H6</f>
        <v>47664</v>
      </c>
      <c r="I6" s="72">
        <f>+'Lead Budget'!I6</f>
        <v>48029</v>
      </c>
      <c r="J6" s="72">
        <f>+'Lead Budget'!J6</f>
        <v>48395</v>
      </c>
      <c r="K6" s="72">
        <f>+'Lead Budget'!K6</f>
        <v>48760</v>
      </c>
      <c r="L6" s="73" t="s">
        <v>5</v>
      </c>
    </row>
    <row r="7" spans="1:19" ht="10.5" x14ac:dyDescent="0.25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4">
        <v>0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0.5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ht="10.5" x14ac:dyDescent="0.25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0.5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ht="10.5" x14ac:dyDescent="0.25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0.5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1" thickBot="1" x14ac:dyDescent="0.3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>+E12+E20+E29</f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ht="10.5" x14ac:dyDescent="0.25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0.5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ht="10.5" x14ac:dyDescent="0.25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0.5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ht="10.5" x14ac:dyDescent="0.25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0.5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ht="10.5" x14ac:dyDescent="0.25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0.5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1" thickBot="1" x14ac:dyDescent="0.3">
      <c r="A55" s="98" t="s">
        <v>16</v>
      </c>
      <c r="B55" s="96">
        <f>SUM(+B12+B20+B29+B34+B38+B45+B54)</f>
        <v>0</v>
      </c>
      <c r="C55" s="96">
        <f t="shared" ref="C55:E55" si="16">SUM(+C12+C20+C29+C34+C38+C45+C54)</f>
        <v>0</v>
      </c>
      <c r="D55" s="96">
        <f t="shared" si="16"/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1" thickBot="1" x14ac:dyDescent="0.3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1" thickBot="1" x14ac:dyDescent="0.3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ht="10.5" x14ac:dyDescent="0.25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ht="10.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ht="10.5" x14ac:dyDescent="0.25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0.5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T66"/>
  <sheetViews>
    <sheetView zoomScale="130" zoomScaleNormal="130" workbookViewId="0">
      <selection activeCell="E16" sqref="E16"/>
    </sheetView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9.7265625" style="2" customWidth="1"/>
    <col min="14" max="14" width="18.54296875" style="2" bestFit="1" customWidth="1"/>
    <col min="15" max="15" width="6.81640625" style="2" bestFit="1" customWidth="1"/>
    <col min="16" max="16" width="9.81640625" style="2" customWidth="1"/>
    <col min="17" max="18" width="9.7265625" style="1" customWidth="1"/>
    <col min="19" max="16384" width="9.1796875" style="1"/>
  </cols>
  <sheetData>
    <row r="1" spans="1:19" ht="13" x14ac:dyDescent="0.3">
      <c r="A1" s="67">
        <f>+'Lead Budget'!A1</f>
        <v>0</v>
      </c>
    </row>
    <row r="2" spans="1:19" ht="13" x14ac:dyDescent="0.3">
      <c r="A2" s="67" t="str">
        <f>+'Lead Budget'!A2</f>
        <v>NSF</v>
      </c>
    </row>
    <row r="3" spans="1:19" ht="12.75" customHeight="1" thickBot="1" x14ac:dyDescent="0.25"/>
    <row r="4" spans="1:19" ht="10.5" x14ac:dyDescent="0.25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69"/>
    </row>
    <row r="5" spans="1:19" ht="11" thickBot="1" x14ac:dyDescent="0.3">
      <c r="A5" s="68" t="str">
        <f ca="1">""&amp;MID('rates, dates, etc'!AR11,FIND("]",'rates, dates, etc'!AR11)+1,25)</f>
        <v>Consortium 4</v>
      </c>
      <c r="B5" s="70">
        <f>+'Lead Budget'!B5</f>
        <v>45108</v>
      </c>
      <c r="C5" s="70">
        <f>+'Lead Budget'!C5</f>
        <v>45474</v>
      </c>
      <c r="D5" s="70">
        <f>+'Lead Budget'!D5</f>
        <v>45839</v>
      </c>
      <c r="E5" s="70">
        <f>+'Lead Budget'!E5</f>
        <v>46204</v>
      </c>
      <c r="F5" s="70">
        <f>+'Lead Budget'!F5</f>
        <v>46569</v>
      </c>
      <c r="G5" s="70">
        <f>+'Lead Budget'!G5</f>
        <v>46935</v>
      </c>
      <c r="H5" s="70">
        <f>+'Lead Budget'!H5</f>
        <v>47300</v>
      </c>
      <c r="I5" s="70">
        <f>+'Lead Budget'!I5</f>
        <v>47665</v>
      </c>
      <c r="J5" s="70">
        <f>+'Lead Budget'!J5</f>
        <v>48030</v>
      </c>
      <c r="K5" s="70">
        <f>+'Lead Budget'!K5</f>
        <v>48396</v>
      </c>
      <c r="L5" s="85"/>
    </row>
    <row r="6" spans="1:19" ht="11" thickBot="1" x14ac:dyDescent="0.3">
      <c r="A6" s="71" t="s">
        <v>4</v>
      </c>
      <c r="B6" s="88">
        <f>+'Lead Budget'!B6</f>
        <v>45473</v>
      </c>
      <c r="C6" s="72">
        <f>+'Lead Budget'!C6</f>
        <v>45838</v>
      </c>
      <c r="D6" s="72">
        <f>+'Lead Budget'!D6</f>
        <v>46203</v>
      </c>
      <c r="E6" s="72">
        <f>+'Lead Budget'!E6</f>
        <v>46568</v>
      </c>
      <c r="F6" s="72">
        <f>+'Lead Budget'!F6</f>
        <v>46934</v>
      </c>
      <c r="G6" s="72">
        <f>+'Lead Budget'!G6</f>
        <v>47299</v>
      </c>
      <c r="H6" s="72">
        <f>+'Lead Budget'!H6</f>
        <v>47664</v>
      </c>
      <c r="I6" s="72">
        <f>+'Lead Budget'!I6</f>
        <v>48029</v>
      </c>
      <c r="J6" s="72">
        <f>+'Lead Budget'!J6</f>
        <v>48395</v>
      </c>
      <c r="K6" s="72">
        <f>+'Lead Budget'!K6</f>
        <v>48760</v>
      </c>
      <c r="L6" s="73" t="s">
        <v>5</v>
      </c>
    </row>
    <row r="7" spans="1:19" ht="10.5" x14ac:dyDescent="0.25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4">
        <v>0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0.5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ht="10.5" x14ac:dyDescent="0.25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0.5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ht="10.5" x14ac:dyDescent="0.25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0.5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1" thickBot="1" x14ac:dyDescent="0.3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 t="shared" si="7"/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ht="10.5" x14ac:dyDescent="0.25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0.5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ht="10.5" x14ac:dyDescent="0.25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0.5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ht="10.5" x14ac:dyDescent="0.25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0.5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ht="10.5" x14ac:dyDescent="0.25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0.5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1" thickBot="1" x14ac:dyDescent="0.3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 t="shared" ref="D55:E55" si="16">SUM(+D12+D20+D29+D34+D38+D45+D54)</f>
        <v>0</v>
      </c>
      <c r="E55" s="96">
        <f t="shared" si="16"/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1" thickBot="1" x14ac:dyDescent="0.3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1" thickBot="1" x14ac:dyDescent="0.3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ht="10.5" x14ac:dyDescent="0.25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ht="10.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ht="10.5" x14ac:dyDescent="0.25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0.5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T66"/>
  <sheetViews>
    <sheetView zoomScale="130" zoomScaleNormal="130" workbookViewId="0">
      <selection activeCell="E16" sqref="E16"/>
    </sheetView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9.7265625" style="2" customWidth="1"/>
    <col min="14" max="14" width="18.54296875" style="2" bestFit="1" customWidth="1"/>
    <col min="15" max="15" width="6.81640625" style="2" bestFit="1" customWidth="1"/>
    <col min="16" max="16" width="9.81640625" style="2" customWidth="1"/>
    <col min="17" max="18" width="9.7265625" style="1" customWidth="1"/>
    <col min="19" max="16384" width="9.1796875" style="1"/>
  </cols>
  <sheetData>
    <row r="1" spans="1:19" ht="13" x14ac:dyDescent="0.3">
      <c r="A1" s="67">
        <f>+'Lead Budget'!A1</f>
        <v>0</v>
      </c>
    </row>
    <row r="2" spans="1:19" ht="13" x14ac:dyDescent="0.3">
      <c r="A2" s="67" t="str">
        <f>+'Lead Budget'!A2</f>
        <v>NSF</v>
      </c>
    </row>
    <row r="3" spans="1:19" ht="12.75" customHeight="1" thickBot="1" x14ac:dyDescent="0.25"/>
    <row r="4" spans="1:19" ht="10.5" x14ac:dyDescent="0.25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69"/>
    </row>
    <row r="5" spans="1:19" ht="11" thickBot="1" x14ac:dyDescent="0.3">
      <c r="A5" s="68" t="str">
        <f ca="1">""&amp;MID('rates, dates, etc'!AR12,FIND("]",'rates, dates, etc'!AR12)+1,25)</f>
        <v>Consortium 4</v>
      </c>
      <c r="B5" s="70">
        <f>+'Lead Budget'!B5</f>
        <v>45108</v>
      </c>
      <c r="C5" s="70">
        <f>+'Lead Budget'!C5</f>
        <v>45474</v>
      </c>
      <c r="D5" s="70">
        <f>+'Lead Budget'!D5</f>
        <v>45839</v>
      </c>
      <c r="E5" s="70">
        <f>+'Lead Budget'!E5</f>
        <v>46204</v>
      </c>
      <c r="F5" s="70">
        <f>+'Lead Budget'!F5</f>
        <v>46569</v>
      </c>
      <c r="G5" s="70">
        <f>+'Lead Budget'!G5</f>
        <v>46935</v>
      </c>
      <c r="H5" s="70">
        <f>+'Lead Budget'!H5</f>
        <v>47300</v>
      </c>
      <c r="I5" s="70">
        <f>+'Lead Budget'!I5</f>
        <v>47665</v>
      </c>
      <c r="J5" s="70">
        <f>+'Lead Budget'!J5</f>
        <v>48030</v>
      </c>
      <c r="K5" s="70">
        <f>+'Lead Budget'!K5</f>
        <v>48396</v>
      </c>
      <c r="L5" s="85"/>
    </row>
    <row r="6" spans="1:19" ht="11" thickBot="1" x14ac:dyDescent="0.3">
      <c r="A6" s="71" t="s">
        <v>4</v>
      </c>
      <c r="B6" s="88">
        <f>+'Lead Budget'!B6</f>
        <v>45473</v>
      </c>
      <c r="C6" s="72">
        <f>+'Lead Budget'!C6</f>
        <v>45838</v>
      </c>
      <c r="D6" s="72">
        <f>+'Lead Budget'!D6</f>
        <v>46203</v>
      </c>
      <c r="E6" s="72">
        <f>+'Lead Budget'!E6</f>
        <v>46568</v>
      </c>
      <c r="F6" s="72">
        <f>+'Lead Budget'!F6</f>
        <v>46934</v>
      </c>
      <c r="G6" s="72">
        <f>+'Lead Budget'!G6</f>
        <v>47299</v>
      </c>
      <c r="H6" s="72">
        <f>+'Lead Budget'!H6</f>
        <v>47664</v>
      </c>
      <c r="I6" s="72">
        <f>+'Lead Budget'!I6</f>
        <v>48029</v>
      </c>
      <c r="J6" s="72">
        <f>+'Lead Budget'!J6</f>
        <v>48395</v>
      </c>
      <c r="K6" s="72">
        <f>+'Lead Budget'!K6</f>
        <v>48760</v>
      </c>
      <c r="L6" s="73" t="s">
        <v>5</v>
      </c>
    </row>
    <row r="7" spans="1:19" ht="10.5" x14ac:dyDescent="0.25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4">
        <v>0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83">
        <f>SUM(B8:K8)</f>
        <v>0</v>
      </c>
      <c r="S8" s="5"/>
    </row>
    <row r="9" spans="1:19" x14ac:dyDescent="0.2">
      <c r="A9" s="3" t="s">
        <v>57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83">
        <f>SUM(B9:K9)</f>
        <v>0</v>
      </c>
    </row>
    <row r="10" spans="1:19" x14ac:dyDescent="0.2">
      <c r="A10" s="3" t="s">
        <v>197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83">
        <f t="shared" ref="L10:L11" si="0">SUM(B10:K10)</f>
        <v>0</v>
      </c>
    </row>
    <row r="11" spans="1:19" x14ac:dyDescent="0.2">
      <c r="A11" s="3" t="s">
        <v>198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83">
        <f t="shared" si="0"/>
        <v>0</v>
      </c>
    </row>
    <row r="12" spans="1:19" ht="10.5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ht="10.5" x14ac:dyDescent="0.25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83">
        <f>SUM(B14:K14)</f>
        <v>0</v>
      </c>
    </row>
    <row r="15" spans="1:19" x14ac:dyDescent="0.2">
      <c r="A15" s="3" t="s">
        <v>70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83">
        <f t="shared" si="2"/>
        <v>0</v>
      </c>
    </row>
    <row r="17" spans="1:20" x14ac:dyDescent="0.2">
      <c r="A17" s="3" t="s">
        <v>74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3">
        <f t="shared" si="2"/>
        <v>0</v>
      </c>
    </row>
    <row r="18" spans="1:20" x14ac:dyDescent="0.2">
      <c r="A18" s="3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3">
        <f t="shared" si="2"/>
        <v>0</v>
      </c>
    </row>
    <row r="19" spans="1:20" x14ac:dyDescent="0.2">
      <c r="A19" s="3" t="s">
        <v>199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3">
        <f t="shared" si="2"/>
        <v>0</v>
      </c>
      <c r="S19" s="5"/>
      <c r="T19" s="5"/>
    </row>
    <row r="20" spans="1:20" ht="10.5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ht="10.5" x14ac:dyDescent="0.25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3">
        <f>SUM(B22:K22)</f>
        <v>0</v>
      </c>
    </row>
    <row r="23" spans="1:20" x14ac:dyDescent="0.2">
      <c r="A23" s="3" t="str">
        <f>+A9</f>
        <v>Co-PI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3">
        <f t="shared" ref="L23:L28" si="4">SUM(B23:K23)</f>
        <v>0</v>
      </c>
    </row>
    <row r="24" spans="1:20" x14ac:dyDescent="0.2">
      <c r="A24" s="3" t="s">
        <v>197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3">
        <f t="shared" si="4"/>
        <v>0</v>
      </c>
    </row>
    <row r="25" spans="1:20" x14ac:dyDescent="0.2">
      <c r="A25" s="3" t="s">
        <v>198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83">
        <f t="shared" si="4"/>
        <v>0</v>
      </c>
    </row>
    <row r="26" spans="1:20" x14ac:dyDescent="0.2">
      <c r="A26" s="3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3">
        <f t="shared" si="4"/>
        <v>0</v>
      </c>
    </row>
    <row r="27" spans="1:20" x14ac:dyDescent="0.2">
      <c r="A27" s="3" t="s">
        <v>74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3">
        <f t="shared" si="4"/>
        <v>0</v>
      </c>
      <c r="S28" s="5"/>
      <c r="T28" s="5"/>
    </row>
    <row r="29" spans="1:20" ht="10.5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 t="shared" ref="E29:F29" si="5">SUM(E21:E28)</f>
        <v>0</v>
      </c>
      <c r="F29" s="6">
        <f t="shared" si="5"/>
        <v>0</v>
      </c>
      <c r="G29" s="6">
        <f t="shared" ref="G29:K29" si="6">SUM(G21:G28)</f>
        <v>0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0</v>
      </c>
      <c r="L29" s="86">
        <f>SUM(L21:L28)</f>
        <v>0</v>
      </c>
      <c r="S29" s="5"/>
      <c r="T29" s="5"/>
    </row>
    <row r="30" spans="1:20" ht="11" thickBot="1" x14ac:dyDescent="0.3">
      <c r="A30" s="130" t="s">
        <v>108</v>
      </c>
      <c r="B30" s="131">
        <f>+B12+B20+B29</f>
        <v>0</v>
      </c>
      <c r="C30" s="131">
        <f>+C12+C20+C29</f>
        <v>0</v>
      </c>
      <c r="D30" s="131">
        <f t="shared" ref="D30:F30" si="7">+D12+D20+D29</f>
        <v>0</v>
      </c>
      <c r="E30" s="131">
        <f t="shared" si="7"/>
        <v>0</v>
      </c>
      <c r="F30" s="131">
        <f t="shared" si="7"/>
        <v>0</v>
      </c>
      <c r="G30" s="131">
        <f t="shared" ref="G30:K30" si="8">+G12+G20+G29</f>
        <v>0</v>
      </c>
      <c r="H30" s="131">
        <f t="shared" si="8"/>
        <v>0</v>
      </c>
      <c r="I30" s="131">
        <f t="shared" si="8"/>
        <v>0</v>
      </c>
      <c r="J30" s="131">
        <f t="shared" si="8"/>
        <v>0</v>
      </c>
      <c r="K30" s="131">
        <f t="shared" si="8"/>
        <v>0</v>
      </c>
      <c r="L30" s="132">
        <f>+L12+L20+L29</f>
        <v>0</v>
      </c>
      <c r="S30" s="5"/>
      <c r="T30" s="5"/>
    </row>
    <row r="31" spans="1:20" ht="10.5" x14ac:dyDescent="0.25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3">
        <f>SUM(B32:K32)</f>
        <v>0</v>
      </c>
    </row>
    <row r="33" spans="1:20" x14ac:dyDescent="0.2">
      <c r="A33" s="3" t="s">
        <v>29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3">
        <f>SUM(B33:K33)</f>
        <v>0</v>
      </c>
    </row>
    <row r="34" spans="1:20" ht="10.5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9">SUM(E31:E33)</f>
        <v>0</v>
      </c>
      <c r="F34" s="6">
        <f t="shared" si="9"/>
        <v>0</v>
      </c>
      <c r="G34" s="6">
        <f t="shared" si="9"/>
        <v>0</v>
      </c>
      <c r="H34" s="6">
        <f t="shared" si="9"/>
        <v>0</v>
      </c>
      <c r="I34" s="6">
        <f t="shared" si="9"/>
        <v>0</v>
      </c>
      <c r="J34" s="6">
        <f t="shared" si="9"/>
        <v>0</v>
      </c>
      <c r="K34" s="6">
        <f t="shared" si="9"/>
        <v>0</v>
      </c>
      <c r="L34" s="86">
        <f>SUM(L31:L33)</f>
        <v>0</v>
      </c>
    </row>
    <row r="35" spans="1:20" ht="10.5" x14ac:dyDescent="0.25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3">
        <f>SUM(B37:K37)</f>
        <v>0</v>
      </c>
      <c r="S37" s="5"/>
      <c r="T37" s="5"/>
    </row>
    <row r="38" spans="1:20" ht="10.5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6">
        <f t="shared" si="10"/>
        <v>0</v>
      </c>
      <c r="K38" s="6">
        <f t="shared" si="10"/>
        <v>0</v>
      </c>
      <c r="L38" s="86">
        <f>SUM(L35:L37)</f>
        <v>0</v>
      </c>
      <c r="S38" s="5"/>
      <c r="T38" s="5"/>
    </row>
    <row r="39" spans="1:20" ht="10.5" x14ac:dyDescent="0.25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ref="L41:L44" si="11">SUM(B41:K41)</f>
        <v>0</v>
      </c>
      <c r="S41" s="5"/>
      <c r="T41" s="5"/>
    </row>
    <row r="42" spans="1:20" x14ac:dyDescent="0.2">
      <c r="A42" s="3" t="s">
        <v>34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11"/>
        <v>0</v>
      </c>
    </row>
    <row r="43" spans="1:20" x14ac:dyDescent="0.2">
      <c r="A43" s="3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83">
        <f t="shared" si="11"/>
        <v>0</v>
      </c>
    </row>
    <row r="44" spans="1:20" x14ac:dyDescent="0.2">
      <c r="A44" s="3" t="s">
        <v>29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3">
        <f t="shared" si="11"/>
        <v>0</v>
      </c>
    </row>
    <row r="45" spans="1:20" ht="10.5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2">SUM(E39:E44)</f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86">
        <f>SUM(L39:L44)</f>
        <v>0</v>
      </c>
    </row>
    <row r="46" spans="1:20" ht="10.5" x14ac:dyDescent="0.25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83">
        <f>SUM(B47:K47)</f>
        <v>0</v>
      </c>
    </row>
    <row r="48" spans="1:20" x14ac:dyDescent="0.2">
      <c r="A48" s="3" t="s">
        <v>76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83">
        <f t="shared" ref="L48:L53" si="13">SUM(B48:K48)</f>
        <v>0</v>
      </c>
    </row>
    <row r="49" spans="1:20" x14ac:dyDescent="0.2">
      <c r="A49" s="3" t="s">
        <v>15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83">
        <f t="shared" si="13"/>
        <v>0</v>
      </c>
    </row>
    <row r="50" spans="1:20" x14ac:dyDescent="0.2">
      <c r="A50" s="3" t="s">
        <v>77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83">
        <f t="shared" si="13"/>
        <v>0</v>
      </c>
    </row>
    <row r="51" spans="1:20" x14ac:dyDescent="0.2">
      <c r="A51" s="3" t="s">
        <v>41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83">
        <f t="shared" si="13"/>
        <v>0</v>
      </c>
    </row>
    <row r="52" spans="1:20" x14ac:dyDescent="0.2">
      <c r="A52" s="3" t="s">
        <v>78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3">
        <f t="shared" si="13"/>
        <v>0</v>
      </c>
    </row>
    <row r="53" spans="1:20" x14ac:dyDescent="0.2">
      <c r="A53" s="3" t="s">
        <v>29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83">
        <f t="shared" si="13"/>
        <v>0</v>
      </c>
    </row>
    <row r="54" spans="1:20" ht="10.5" thickBot="1" x14ac:dyDescent="0.25">
      <c r="A54" s="76" t="s">
        <v>80</v>
      </c>
      <c r="B54" s="6">
        <f t="shared" ref="B54:L54" si="14">SUM(B46:B53)</f>
        <v>0</v>
      </c>
      <c r="C54" s="6">
        <f t="shared" si="14"/>
        <v>0</v>
      </c>
      <c r="D54" s="6">
        <f t="shared" si="14"/>
        <v>0</v>
      </c>
      <c r="E54" s="6">
        <f t="shared" si="14"/>
        <v>0</v>
      </c>
      <c r="F54" s="6">
        <f t="shared" si="14"/>
        <v>0</v>
      </c>
      <c r="G54" s="6">
        <f t="shared" ref="G54:K54" si="15">SUM(G46:G53)</f>
        <v>0</v>
      </c>
      <c r="H54" s="6">
        <f t="shared" si="15"/>
        <v>0</v>
      </c>
      <c r="I54" s="6">
        <f t="shared" si="15"/>
        <v>0</v>
      </c>
      <c r="J54" s="6">
        <f t="shared" si="15"/>
        <v>0</v>
      </c>
      <c r="K54" s="6">
        <f t="shared" si="15"/>
        <v>0</v>
      </c>
      <c r="L54" s="86">
        <f t="shared" si="14"/>
        <v>0</v>
      </c>
      <c r="P54" s="1"/>
      <c r="S54" s="5"/>
      <c r="T54" s="5"/>
    </row>
    <row r="55" spans="1:20" ht="11" thickBot="1" x14ac:dyDescent="0.3">
      <c r="A55" s="98" t="s">
        <v>16</v>
      </c>
      <c r="B55" s="96">
        <f>SUM(+B12+B20+B29+B34+B38+B45+B54)</f>
        <v>0</v>
      </c>
      <c r="C55" s="96">
        <f t="shared" ref="C55:D55" si="16">SUM(+C12+C20+C29+C34+C38+C45+C54)</f>
        <v>0</v>
      </c>
      <c r="D55" s="96">
        <f t="shared" si="16"/>
        <v>0</v>
      </c>
      <c r="E55" s="96">
        <f>SUM(+E12+E20+E29+E34+E38+E45+E54)</f>
        <v>0</v>
      </c>
      <c r="F55" s="96">
        <f>SUM(+F12+F20+F29+F34+F38+F45+F54)</f>
        <v>0</v>
      </c>
      <c r="G55" s="96">
        <f t="shared" ref="G55:K55" si="17">SUM(+G12+G20+G29+G34+G38+G45+G54)</f>
        <v>0</v>
      </c>
      <c r="H55" s="96">
        <f t="shared" si="17"/>
        <v>0</v>
      </c>
      <c r="I55" s="96">
        <f t="shared" si="17"/>
        <v>0</v>
      </c>
      <c r="J55" s="96">
        <f t="shared" si="17"/>
        <v>0</v>
      </c>
      <c r="K55" s="96">
        <f t="shared" si="17"/>
        <v>0</v>
      </c>
      <c r="L55" s="97">
        <f>SUM(+L12+L20+L29+L34+L38+L45+L54)</f>
        <v>0</v>
      </c>
      <c r="S55" s="5"/>
      <c r="T55" s="5"/>
    </row>
    <row r="56" spans="1:20" ht="11" thickBot="1" x14ac:dyDescent="0.3">
      <c r="A56" s="71" t="s">
        <v>18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1">
        <f>SUM(B56:K56)</f>
        <v>0</v>
      </c>
      <c r="S56" s="5"/>
      <c r="T56" s="5"/>
    </row>
    <row r="57" spans="1:20" ht="11" thickBot="1" x14ac:dyDescent="0.3">
      <c r="A57" s="79" t="s">
        <v>19</v>
      </c>
      <c r="B57" s="80">
        <f>+B55+B56</f>
        <v>0</v>
      </c>
      <c r="C57" s="80">
        <f t="shared" ref="C57:F57" si="18">+C55+C56</f>
        <v>0</v>
      </c>
      <c r="D57" s="80">
        <f t="shared" si="18"/>
        <v>0</v>
      </c>
      <c r="E57" s="80">
        <f t="shared" si="18"/>
        <v>0</v>
      </c>
      <c r="F57" s="80">
        <f t="shared" si="18"/>
        <v>0</v>
      </c>
      <c r="G57" s="80">
        <f t="shared" ref="G57:K57" si="19">+G55+G56</f>
        <v>0</v>
      </c>
      <c r="H57" s="80">
        <f t="shared" si="19"/>
        <v>0</v>
      </c>
      <c r="I57" s="80">
        <f t="shared" si="19"/>
        <v>0</v>
      </c>
      <c r="J57" s="80">
        <f t="shared" si="19"/>
        <v>0</v>
      </c>
      <c r="K57" s="80">
        <f t="shared" si="19"/>
        <v>0</v>
      </c>
      <c r="L57" s="81">
        <f>SUM(B57:K57)</f>
        <v>0</v>
      </c>
      <c r="S57" s="5"/>
      <c r="T57" s="5"/>
    </row>
    <row r="58" spans="1:20" ht="10.5" x14ac:dyDescent="0.25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ht="10.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ht="10.5" x14ac:dyDescent="0.25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0.5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20">IF(C57+D57+E57+F57&gt;25000,0,IF(C57+D57+E57+F57+G57&gt;25000,(25000-(C57+D57+E57+F57)),G57))</f>
        <v>0</v>
      </c>
      <c r="H63" s="84">
        <f t="shared" si="20"/>
        <v>0</v>
      </c>
      <c r="I63" s="84">
        <f t="shared" si="20"/>
        <v>0</v>
      </c>
      <c r="J63" s="84">
        <f t="shared" si="20"/>
        <v>0</v>
      </c>
      <c r="K63" s="84">
        <f t="shared" si="20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21">+G57-G63</f>
        <v>0</v>
      </c>
      <c r="H64" s="84">
        <f t="shared" si="21"/>
        <v>0</v>
      </c>
      <c r="I64" s="84">
        <f t="shared" si="21"/>
        <v>0</v>
      </c>
      <c r="J64" s="84">
        <f t="shared" si="21"/>
        <v>0</v>
      </c>
      <c r="K64" s="84">
        <f t="shared" si="21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:F66" si="22">SUM(D63:D64)</f>
        <v>0</v>
      </c>
      <c r="E66" s="5">
        <f t="shared" si="22"/>
        <v>0</v>
      </c>
      <c r="F66" s="5">
        <f t="shared" si="22"/>
        <v>0</v>
      </c>
      <c r="G66" s="5">
        <f t="shared" ref="G66:K66" si="23">SUM(G63:G64)</f>
        <v>0</v>
      </c>
      <c r="H66" s="5">
        <f t="shared" si="23"/>
        <v>0</v>
      </c>
      <c r="I66" s="5">
        <f t="shared" si="23"/>
        <v>0</v>
      </c>
      <c r="J66" s="5">
        <f t="shared" si="23"/>
        <v>0</v>
      </c>
      <c r="K66" s="5">
        <f t="shared" si="23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"/>
  <sheetViews>
    <sheetView workbookViewId="0">
      <selection activeCell="B8" sqref="B8"/>
    </sheetView>
  </sheetViews>
  <sheetFormatPr defaultColWidth="8.7265625" defaultRowHeight="14.5" x14ac:dyDescent="0.35"/>
  <cols>
    <col min="1" max="1" width="26.26953125" style="269" customWidth="1"/>
    <col min="2" max="2" width="26.453125" style="269" customWidth="1"/>
    <col min="3" max="13" width="14.7265625" style="269" customWidth="1"/>
    <col min="14" max="14" width="20.81640625" style="269" bestFit="1" customWidth="1"/>
    <col min="15" max="15" width="38.453125" style="269" customWidth="1"/>
    <col min="16" max="16" width="10.81640625" style="269" customWidth="1"/>
    <col min="17" max="16384" width="8.7265625" style="269"/>
  </cols>
  <sheetData>
    <row r="1" spans="1:18" s="287" customFormat="1" x14ac:dyDescent="0.35">
      <c r="A1" s="279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8" s="287" customFormat="1" ht="15" thickBot="1" x14ac:dyDescent="0.4">
      <c r="A2" s="30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3"/>
      <c r="N2" s="283"/>
      <c r="O2" s="305" t="s">
        <v>165</v>
      </c>
      <c r="P2" s="304" t="s">
        <v>164</v>
      </c>
      <c r="Q2" s="304" t="s">
        <v>163</v>
      </c>
      <c r="R2" s="304" t="s">
        <v>5</v>
      </c>
    </row>
    <row r="3" spans="1:18" x14ac:dyDescent="0.35">
      <c r="A3" s="30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3"/>
      <c r="N3" s="283"/>
      <c r="O3" s="303"/>
      <c r="P3" s="293">
        <v>0</v>
      </c>
      <c r="Q3" s="302">
        <v>0</v>
      </c>
      <c r="R3" s="293">
        <f>P3*Q3</f>
        <v>0</v>
      </c>
    </row>
    <row r="4" spans="1:18" x14ac:dyDescent="0.35">
      <c r="A4" s="300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3"/>
      <c r="N4" s="283"/>
      <c r="O4" s="301"/>
      <c r="P4" s="295">
        <v>0</v>
      </c>
      <c r="Q4" s="294">
        <v>0</v>
      </c>
      <c r="R4" s="293">
        <f>P4*Q4</f>
        <v>0</v>
      </c>
    </row>
    <row r="5" spans="1:18" hidden="1" x14ac:dyDescent="0.35">
      <c r="A5" s="300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3"/>
      <c r="N5" s="283"/>
      <c r="O5" s="296"/>
      <c r="P5" s="295"/>
      <c r="Q5" s="294"/>
      <c r="R5" s="293">
        <f>P5*Q5</f>
        <v>0</v>
      </c>
    </row>
    <row r="6" spans="1:18" x14ac:dyDescent="0.35">
      <c r="A6" s="300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83"/>
      <c r="N6" s="283"/>
      <c r="O6" s="296"/>
      <c r="P6" s="295">
        <v>0</v>
      </c>
      <c r="Q6" s="294">
        <v>0</v>
      </c>
      <c r="R6" s="293">
        <f>P6*Q6</f>
        <v>0</v>
      </c>
    </row>
    <row r="7" spans="1:18" ht="15.5" x14ac:dyDescent="0.35">
      <c r="A7" s="275"/>
      <c r="B7" s="298"/>
      <c r="C7" s="298"/>
      <c r="D7" s="298"/>
      <c r="E7" s="298"/>
      <c r="M7" s="283"/>
      <c r="N7" s="283"/>
      <c r="O7" s="296"/>
      <c r="P7" s="295">
        <v>0</v>
      </c>
      <c r="Q7" s="294">
        <v>0</v>
      </c>
      <c r="R7" s="293">
        <f>P7*Q7</f>
        <v>0</v>
      </c>
    </row>
    <row r="8" spans="1:18" ht="58" x14ac:dyDescent="0.35">
      <c r="A8" s="275"/>
      <c r="B8" s="247" t="s">
        <v>143</v>
      </c>
      <c r="C8" s="292"/>
      <c r="D8" s="297" t="s">
        <v>162</v>
      </c>
      <c r="E8" s="292"/>
      <c r="M8" s="283"/>
      <c r="N8" s="283"/>
      <c r="O8" s="296" t="s">
        <v>161</v>
      </c>
      <c r="P8" s="295"/>
      <c r="Q8" s="294"/>
      <c r="R8" s="293">
        <f>SUM(R3:R7)</f>
        <v>0</v>
      </c>
    </row>
    <row r="9" spans="1:18" ht="15.5" hidden="1" x14ac:dyDescent="0.35">
      <c r="A9" s="275"/>
      <c r="B9" s="292"/>
      <c r="C9" s="292"/>
      <c r="D9" s="292"/>
      <c r="E9" s="292"/>
      <c r="M9" s="283"/>
      <c r="N9" s="283"/>
      <c r="O9" s="279"/>
      <c r="P9" s="281"/>
      <c r="Q9" s="280"/>
      <c r="R9" s="279"/>
    </row>
    <row r="10" spans="1:18" ht="15.5" x14ac:dyDescent="0.35">
      <c r="A10" s="275"/>
      <c r="B10" s="292"/>
      <c r="C10" s="292"/>
      <c r="D10" s="292"/>
      <c r="E10" s="292"/>
      <c r="M10" s="283"/>
      <c r="N10" s="283"/>
      <c r="O10" s="279"/>
      <c r="P10" s="281"/>
      <c r="Q10" s="280"/>
      <c r="R10" s="279"/>
    </row>
    <row r="11" spans="1:18" ht="16" thickBot="1" x14ac:dyDescent="0.4">
      <c r="A11" s="275"/>
      <c r="B11" s="292"/>
      <c r="C11" s="292"/>
      <c r="D11" s="292"/>
      <c r="E11" s="292"/>
      <c r="M11" s="283"/>
      <c r="N11" s="283"/>
      <c r="O11" s="279"/>
      <c r="P11" s="281"/>
      <c r="Q11" s="280"/>
      <c r="R11" s="279"/>
    </row>
    <row r="12" spans="1:18" ht="15.5" x14ac:dyDescent="0.35">
      <c r="A12" s="275"/>
      <c r="B12" s="286" t="s">
        <v>160</v>
      </c>
      <c r="C12" s="285" t="s">
        <v>155</v>
      </c>
      <c r="D12" s="285" t="s">
        <v>154</v>
      </c>
      <c r="E12" s="285" t="s">
        <v>153</v>
      </c>
      <c r="F12" s="285" t="s">
        <v>152</v>
      </c>
      <c r="G12" s="285" t="s">
        <v>169</v>
      </c>
      <c r="H12" s="285" t="s">
        <v>192</v>
      </c>
      <c r="I12" s="285" t="s">
        <v>193</v>
      </c>
      <c r="J12" s="285" t="s">
        <v>194</v>
      </c>
      <c r="K12" s="285" t="s">
        <v>195</v>
      </c>
      <c r="L12" s="285" t="s">
        <v>196</v>
      </c>
      <c r="M12" s="284" t="s">
        <v>5</v>
      </c>
      <c r="N12" s="283"/>
      <c r="O12" s="279"/>
      <c r="P12" s="281"/>
      <c r="Q12" s="280"/>
      <c r="R12" s="279"/>
    </row>
    <row r="13" spans="1:18" ht="15.5" x14ac:dyDescent="0.35">
      <c r="A13" s="275"/>
      <c r="B13" s="278" t="s">
        <v>159</v>
      </c>
      <c r="C13" s="277">
        <f>'Budget Summary'!O117</f>
        <v>0</v>
      </c>
      <c r="D13" s="277">
        <f>'Budget Summary'!P117</f>
        <v>0</v>
      </c>
      <c r="E13" s="277">
        <f>'Budget Summary'!Q117</f>
        <v>0</v>
      </c>
      <c r="F13" s="277">
        <f>'Budget Summary'!R117</f>
        <v>0</v>
      </c>
      <c r="G13" s="277">
        <f>'Budget Summary'!S117</f>
        <v>0</v>
      </c>
      <c r="H13" s="277">
        <f>'Budget Summary'!T117</f>
        <v>0</v>
      </c>
      <c r="I13" s="277">
        <f>'Budget Summary'!U117</f>
        <v>0</v>
      </c>
      <c r="J13" s="277">
        <f>'Budget Summary'!V117</f>
        <v>0</v>
      </c>
      <c r="K13" s="277">
        <f>'Budget Summary'!W117</f>
        <v>0</v>
      </c>
      <c r="L13" s="277">
        <f>'Budget Summary'!X117</f>
        <v>0</v>
      </c>
      <c r="M13" s="276">
        <f>SUM(C13:L13)</f>
        <v>0</v>
      </c>
      <c r="N13" s="283"/>
      <c r="O13" s="279"/>
      <c r="P13" s="281"/>
      <c r="Q13" s="280"/>
      <c r="R13" s="279"/>
    </row>
    <row r="14" spans="1:18" ht="15.5" x14ac:dyDescent="0.35">
      <c r="A14" s="275"/>
      <c r="B14" s="278" t="s">
        <v>158</v>
      </c>
      <c r="C14" s="277">
        <f>'Budget Summary'!O118</f>
        <v>0</v>
      </c>
      <c r="D14" s="277">
        <f>'Budget Summary'!P118</f>
        <v>0</v>
      </c>
      <c r="E14" s="277">
        <f>'Budget Summary'!Q118</f>
        <v>0</v>
      </c>
      <c r="F14" s="277">
        <f>'Budget Summary'!R118</f>
        <v>0</v>
      </c>
      <c r="G14" s="277">
        <f>'Budget Summary'!S118</f>
        <v>0</v>
      </c>
      <c r="H14" s="277">
        <f>'Budget Summary'!T118</f>
        <v>0</v>
      </c>
      <c r="I14" s="277">
        <f>'Budget Summary'!U118</f>
        <v>0</v>
      </c>
      <c r="J14" s="277">
        <f>'Budget Summary'!V118</f>
        <v>0</v>
      </c>
      <c r="K14" s="277">
        <f>'Budget Summary'!W118</f>
        <v>0</v>
      </c>
      <c r="L14" s="277">
        <f>'Budget Summary'!X118</f>
        <v>0</v>
      </c>
      <c r="M14" s="276">
        <f>SUM(C14:L14)</f>
        <v>0</v>
      </c>
      <c r="P14" s="271"/>
      <c r="Q14" s="270"/>
    </row>
    <row r="15" spans="1:18" ht="16" thickBot="1" x14ac:dyDescent="0.4">
      <c r="A15" s="275"/>
      <c r="B15" s="274" t="s">
        <v>157</v>
      </c>
      <c r="C15" s="273">
        <f t="shared" ref="C15:G15" si="0">SUM(C13:C14)</f>
        <v>0</v>
      </c>
      <c r="D15" s="273">
        <f t="shared" si="0"/>
        <v>0</v>
      </c>
      <c r="E15" s="273">
        <f t="shared" si="0"/>
        <v>0</v>
      </c>
      <c r="F15" s="273">
        <f t="shared" si="0"/>
        <v>0</v>
      </c>
      <c r="G15" s="273">
        <f t="shared" si="0"/>
        <v>0</v>
      </c>
      <c r="H15" s="273">
        <f t="shared" ref="H15:L15" si="1">SUM(H13:H14)</f>
        <v>0</v>
      </c>
      <c r="I15" s="273">
        <f t="shared" si="1"/>
        <v>0</v>
      </c>
      <c r="J15" s="273">
        <f t="shared" si="1"/>
        <v>0</v>
      </c>
      <c r="K15" s="273">
        <f t="shared" si="1"/>
        <v>0</v>
      </c>
      <c r="L15" s="273">
        <f t="shared" si="1"/>
        <v>0</v>
      </c>
      <c r="M15" s="272">
        <f>SUM(C15:L15)</f>
        <v>0</v>
      </c>
      <c r="P15" s="271"/>
      <c r="Q15" s="270"/>
    </row>
    <row r="16" spans="1:18" x14ac:dyDescent="0.35">
      <c r="M16" s="291"/>
      <c r="N16" s="291"/>
      <c r="P16" s="271"/>
      <c r="Q16" s="270"/>
    </row>
    <row r="17" spans="1:18" s="287" customFormat="1" ht="15" thickBot="1" x14ac:dyDescent="0.4">
      <c r="A17" s="269"/>
      <c r="B17" s="269"/>
      <c r="C17" s="269"/>
      <c r="D17" s="269"/>
      <c r="E17" s="269"/>
      <c r="N17" s="290"/>
      <c r="P17" s="289"/>
      <c r="Q17" s="288"/>
    </row>
    <row r="18" spans="1:18" ht="15.5" x14ac:dyDescent="0.35">
      <c r="A18" s="275"/>
      <c r="B18" s="286" t="s">
        <v>156</v>
      </c>
      <c r="C18" s="285" t="s">
        <v>155</v>
      </c>
      <c r="D18" s="285" t="s">
        <v>154</v>
      </c>
      <c r="E18" s="285" t="s">
        <v>153</v>
      </c>
      <c r="F18" s="285" t="s">
        <v>152</v>
      </c>
      <c r="G18" s="285" t="s">
        <v>169</v>
      </c>
      <c r="H18" s="285" t="s">
        <v>192</v>
      </c>
      <c r="I18" s="285" t="s">
        <v>193</v>
      </c>
      <c r="J18" s="285" t="s">
        <v>194</v>
      </c>
      <c r="K18" s="285" t="s">
        <v>195</v>
      </c>
      <c r="L18" s="285" t="s">
        <v>196</v>
      </c>
      <c r="M18" s="284" t="s">
        <v>5</v>
      </c>
      <c r="N18" s="283"/>
      <c r="O18" s="279"/>
      <c r="P18" s="281"/>
      <c r="Q18" s="280"/>
      <c r="R18" s="279"/>
    </row>
    <row r="19" spans="1:18" ht="15.5" x14ac:dyDescent="0.35">
      <c r="A19" s="275"/>
      <c r="B19" s="278" t="s">
        <v>151</v>
      </c>
      <c r="C19" s="277">
        <f>'Budget Summary'!O119</f>
        <v>0</v>
      </c>
      <c r="D19" s="277">
        <f>'Budget Summary'!P119</f>
        <v>0</v>
      </c>
      <c r="E19" s="277">
        <f>'Budget Summary'!Q119</f>
        <v>0</v>
      </c>
      <c r="F19" s="277">
        <f>'Budget Summary'!R119</f>
        <v>0</v>
      </c>
      <c r="G19" s="277">
        <f>'Budget Summary'!S119</f>
        <v>0</v>
      </c>
      <c r="H19" s="277">
        <f>'Budget Summary'!T119</f>
        <v>0</v>
      </c>
      <c r="I19" s="277">
        <f>'Budget Summary'!U119</f>
        <v>0</v>
      </c>
      <c r="J19" s="277">
        <f>'Budget Summary'!V119</f>
        <v>0</v>
      </c>
      <c r="K19" s="277">
        <f>'Budget Summary'!W119</f>
        <v>0</v>
      </c>
      <c r="L19" s="277">
        <f>'Budget Summary'!X119</f>
        <v>0</v>
      </c>
      <c r="M19" s="276">
        <f>SUM(C19:L19)</f>
        <v>0</v>
      </c>
      <c r="N19" s="282"/>
      <c r="O19" s="279"/>
      <c r="P19" s="281"/>
      <c r="Q19" s="280"/>
      <c r="R19" s="279"/>
    </row>
    <row r="20" spans="1:18" ht="15.5" x14ac:dyDescent="0.35">
      <c r="A20" s="275"/>
      <c r="B20" s="278" t="s">
        <v>150</v>
      </c>
      <c r="C20" s="277">
        <f>'Budget Summary'!O120</f>
        <v>0</v>
      </c>
      <c r="D20" s="277">
        <f>'Budget Summary'!P120</f>
        <v>0</v>
      </c>
      <c r="E20" s="277">
        <f>'Budget Summary'!Q120</f>
        <v>0</v>
      </c>
      <c r="F20" s="277">
        <f>'Budget Summary'!R120</f>
        <v>0</v>
      </c>
      <c r="G20" s="277">
        <f>'Budget Summary'!S120</f>
        <v>0</v>
      </c>
      <c r="H20" s="277">
        <f>'Budget Summary'!T120</f>
        <v>0</v>
      </c>
      <c r="I20" s="277">
        <f>'Budget Summary'!U120</f>
        <v>0</v>
      </c>
      <c r="J20" s="277">
        <f>'Budget Summary'!V120</f>
        <v>0</v>
      </c>
      <c r="K20" s="277">
        <f>'Budget Summary'!W120</f>
        <v>0</v>
      </c>
      <c r="L20" s="277">
        <f>'Budget Summary'!X120</f>
        <v>0</v>
      </c>
      <c r="M20" s="276">
        <f>SUM(C20:L20)</f>
        <v>0</v>
      </c>
      <c r="P20" s="271"/>
      <c r="Q20" s="270"/>
    </row>
    <row r="21" spans="1:18" ht="16" thickBot="1" x14ac:dyDescent="0.4">
      <c r="A21" s="275"/>
      <c r="B21" s="274" t="s">
        <v>170</v>
      </c>
      <c r="C21" s="273">
        <f t="shared" ref="C21:G21" si="2">SUM(C19:C20)</f>
        <v>0</v>
      </c>
      <c r="D21" s="273">
        <f t="shared" si="2"/>
        <v>0</v>
      </c>
      <c r="E21" s="273">
        <f t="shared" si="2"/>
        <v>0</v>
      </c>
      <c r="F21" s="273">
        <f t="shared" si="2"/>
        <v>0</v>
      </c>
      <c r="G21" s="273">
        <f t="shared" si="2"/>
        <v>0</v>
      </c>
      <c r="H21" s="273">
        <f t="shared" ref="H21:L21" si="3">SUM(H19:H20)</f>
        <v>0</v>
      </c>
      <c r="I21" s="273">
        <f t="shared" si="3"/>
        <v>0</v>
      </c>
      <c r="J21" s="273">
        <f t="shared" si="3"/>
        <v>0</v>
      </c>
      <c r="K21" s="273">
        <f t="shared" si="3"/>
        <v>0</v>
      </c>
      <c r="L21" s="273">
        <f t="shared" si="3"/>
        <v>0</v>
      </c>
      <c r="M21" s="272">
        <f>SUM(C21:L21)</f>
        <v>0</v>
      </c>
      <c r="P21" s="271"/>
      <c r="Q21" s="270"/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99"/>
  <sheetViews>
    <sheetView workbookViewId="0">
      <selection activeCell="A41" sqref="A41:M41"/>
    </sheetView>
  </sheetViews>
  <sheetFormatPr defaultColWidth="9.1796875" defaultRowHeight="14.5" x14ac:dyDescent="0.35"/>
  <cols>
    <col min="1" max="1" width="19.7265625" style="248" customWidth="1"/>
    <col min="2" max="2" width="11.26953125" style="248" bestFit="1" customWidth="1"/>
    <col min="3" max="3" width="9.7265625" style="249" bestFit="1" customWidth="1"/>
    <col min="4" max="4" width="4.26953125" style="250" bestFit="1" customWidth="1"/>
    <col min="5" max="5" width="11.7265625" style="250" bestFit="1" customWidth="1"/>
    <col min="6" max="6" width="8.26953125" style="250" bestFit="1" customWidth="1"/>
    <col min="7" max="7" width="6.7265625" style="250" bestFit="1" customWidth="1"/>
    <col min="8" max="8" width="11.81640625" style="250" bestFit="1" customWidth="1"/>
    <col min="9" max="9" width="5.1796875" style="250" bestFit="1" customWidth="1"/>
    <col min="10" max="10" width="9.1796875" style="250" bestFit="1" customWidth="1"/>
    <col min="11" max="11" width="9.81640625" style="249" bestFit="1" customWidth="1"/>
    <col min="12" max="12" width="5.26953125" style="249" bestFit="1" customWidth="1"/>
    <col min="13" max="13" width="6.1796875" style="249" bestFit="1" customWidth="1"/>
    <col min="14" max="16384" width="9.1796875" style="249"/>
  </cols>
  <sheetData>
    <row r="1" spans="1:13" x14ac:dyDescent="0.35">
      <c r="A1" s="429" t="s">
        <v>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1"/>
    </row>
    <row r="2" spans="1:13" ht="29" x14ac:dyDescent="0.35">
      <c r="A2" s="267" t="s">
        <v>182</v>
      </c>
      <c r="B2" s="267" t="s">
        <v>181</v>
      </c>
      <c r="C2" s="267" t="s">
        <v>171</v>
      </c>
      <c r="D2" s="267" t="s">
        <v>177</v>
      </c>
      <c r="E2" s="267" t="s">
        <v>63</v>
      </c>
      <c r="F2" s="267" t="s">
        <v>172</v>
      </c>
      <c r="G2" s="267" t="s">
        <v>173</v>
      </c>
      <c r="H2" s="267" t="s">
        <v>178</v>
      </c>
      <c r="I2" s="267" t="s">
        <v>174</v>
      </c>
      <c r="J2" s="267" t="s">
        <v>179</v>
      </c>
      <c r="K2" s="267" t="s">
        <v>175</v>
      </c>
      <c r="L2" s="268" t="s">
        <v>176</v>
      </c>
      <c r="M2" s="267" t="s">
        <v>180</v>
      </c>
    </row>
    <row r="3" spans="1:13" x14ac:dyDescent="0.35">
      <c r="A3" s="254"/>
      <c r="B3" s="254"/>
      <c r="C3" s="255" t="s">
        <v>144</v>
      </c>
      <c r="D3" s="256">
        <v>0</v>
      </c>
      <c r="E3" s="257">
        <v>0</v>
      </c>
      <c r="F3" s="257">
        <v>0</v>
      </c>
      <c r="G3" s="256">
        <v>4</v>
      </c>
      <c r="H3" s="257">
        <v>0</v>
      </c>
      <c r="I3" s="258">
        <f>G3+1</f>
        <v>5</v>
      </c>
      <c r="J3" s="257">
        <v>0</v>
      </c>
      <c r="K3" s="259">
        <f>(D3*SUM((E3+F3)+(G3*H3)+(I3*J3)))</f>
        <v>0</v>
      </c>
      <c r="L3" s="260">
        <v>1</v>
      </c>
      <c r="M3" s="266">
        <f>K3*L3</f>
        <v>0</v>
      </c>
    </row>
    <row r="4" spans="1:13" x14ac:dyDescent="0.35">
      <c r="A4" s="254"/>
      <c r="B4" s="254"/>
      <c r="C4" s="255" t="s">
        <v>144</v>
      </c>
      <c r="D4" s="256">
        <v>0</v>
      </c>
      <c r="E4" s="257">
        <v>0</v>
      </c>
      <c r="F4" s="257">
        <v>0</v>
      </c>
      <c r="G4" s="256">
        <v>4</v>
      </c>
      <c r="H4" s="257">
        <v>0</v>
      </c>
      <c r="I4" s="258">
        <f>G4+1</f>
        <v>5</v>
      </c>
      <c r="J4" s="257">
        <v>0</v>
      </c>
      <c r="K4" s="259">
        <f>(D4*SUM((E4+F4)+(G4*H4)+(I4*J4)))</f>
        <v>0</v>
      </c>
      <c r="L4" s="260">
        <v>1</v>
      </c>
      <c r="M4" s="266">
        <f>K4*L4</f>
        <v>0</v>
      </c>
    </row>
    <row r="5" spans="1:13" x14ac:dyDescent="0.35">
      <c r="A5" s="254"/>
      <c r="B5" s="254"/>
      <c r="C5" s="255" t="s">
        <v>144</v>
      </c>
      <c r="D5" s="256">
        <v>0</v>
      </c>
      <c r="E5" s="257">
        <v>0</v>
      </c>
      <c r="F5" s="257">
        <v>0</v>
      </c>
      <c r="G5" s="256">
        <v>4</v>
      </c>
      <c r="H5" s="257">
        <v>0</v>
      </c>
      <c r="I5" s="258">
        <f>G5+1</f>
        <v>5</v>
      </c>
      <c r="J5" s="257">
        <v>0</v>
      </c>
      <c r="K5" s="259">
        <f>(D5*SUM((E5+F5)+(G5*H5)+(I5*J5)))</f>
        <v>0</v>
      </c>
      <c r="L5" s="260">
        <v>1</v>
      </c>
      <c r="M5" s="266">
        <f>K5*L5</f>
        <v>0</v>
      </c>
    </row>
    <row r="6" spans="1:13" x14ac:dyDescent="0.35">
      <c r="A6" s="254"/>
      <c r="B6" s="254"/>
      <c r="C6" s="255" t="s">
        <v>144</v>
      </c>
      <c r="D6" s="256">
        <v>0</v>
      </c>
      <c r="E6" s="257">
        <v>0</v>
      </c>
      <c r="F6" s="257">
        <v>0</v>
      </c>
      <c r="G6" s="256">
        <v>4</v>
      </c>
      <c r="H6" s="257">
        <v>0</v>
      </c>
      <c r="I6" s="258">
        <f>G6+1</f>
        <v>5</v>
      </c>
      <c r="J6" s="257">
        <v>0</v>
      </c>
      <c r="K6" s="259">
        <f>(D6*SUM((E6+F6)+(G6*H6)+(I6*J6)))</f>
        <v>0</v>
      </c>
      <c r="L6" s="260">
        <v>1</v>
      </c>
      <c r="M6" s="266">
        <f>K6*L6</f>
        <v>0</v>
      </c>
    </row>
    <row r="7" spans="1:13" ht="15" thickBot="1" x14ac:dyDescent="0.4">
      <c r="A7" s="254"/>
      <c r="B7" s="254"/>
      <c r="C7" s="255" t="s">
        <v>144</v>
      </c>
      <c r="D7" s="256">
        <v>0</v>
      </c>
      <c r="E7" s="257">
        <v>0</v>
      </c>
      <c r="F7" s="257">
        <v>0</v>
      </c>
      <c r="G7" s="256">
        <v>4</v>
      </c>
      <c r="H7" s="257">
        <v>0</v>
      </c>
      <c r="I7" s="258">
        <f>G7+1</f>
        <v>5</v>
      </c>
      <c r="J7" s="257">
        <v>0</v>
      </c>
      <c r="K7" s="259">
        <f>(D7*SUM((E7+F7)+(G7*H7)+(I7*J7)))</f>
        <v>0</v>
      </c>
      <c r="L7" s="260">
        <v>1</v>
      </c>
      <c r="M7" s="266">
        <f>K7*L7</f>
        <v>0</v>
      </c>
    </row>
    <row r="8" spans="1:13" ht="15" thickBot="1" x14ac:dyDescent="0.4">
      <c r="A8" s="251"/>
      <c r="B8" s="251"/>
      <c r="C8" s="252"/>
      <c r="D8" s="253"/>
      <c r="E8" s="253"/>
      <c r="F8" s="253"/>
      <c r="G8" s="253"/>
      <c r="H8" s="253"/>
      <c r="I8" s="253"/>
      <c r="J8" s="253"/>
      <c r="K8" s="253"/>
      <c r="L8" s="253"/>
      <c r="M8" s="261">
        <f>SUM(M3:M7)</f>
        <v>0</v>
      </c>
    </row>
    <row r="11" spans="1:13" x14ac:dyDescent="0.35">
      <c r="A11" s="429" t="s">
        <v>2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1"/>
    </row>
    <row r="12" spans="1:13" ht="29" x14ac:dyDescent="0.35">
      <c r="A12" s="267" t="s">
        <v>182</v>
      </c>
      <c r="B12" s="267" t="s">
        <v>181</v>
      </c>
      <c r="C12" s="267" t="s">
        <v>171</v>
      </c>
      <c r="D12" s="267" t="s">
        <v>177</v>
      </c>
      <c r="E12" s="267" t="s">
        <v>63</v>
      </c>
      <c r="F12" s="267" t="s">
        <v>172</v>
      </c>
      <c r="G12" s="267" t="s">
        <v>173</v>
      </c>
      <c r="H12" s="267" t="s">
        <v>178</v>
      </c>
      <c r="I12" s="267" t="s">
        <v>174</v>
      </c>
      <c r="J12" s="267" t="s">
        <v>179</v>
      </c>
      <c r="K12" s="267" t="s">
        <v>175</v>
      </c>
      <c r="L12" s="268" t="s">
        <v>176</v>
      </c>
      <c r="M12" s="267" t="s">
        <v>180</v>
      </c>
    </row>
    <row r="13" spans="1:13" x14ac:dyDescent="0.35">
      <c r="A13" s="254"/>
      <c r="B13" s="254"/>
      <c r="C13" s="255" t="s">
        <v>144</v>
      </c>
      <c r="D13" s="256">
        <v>0</v>
      </c>
      <c r="E13" s="257">
        <v>0</v>
      </c>
      <c r="F13" s="257">
        <v>0</v>
      </c>
      <c r="G13" s="256">
        <v>4</v>
      </c>
      <c r="H13" s="257">
        <v>0</v>
      </c>
      <c r="I13" s="258">
        <f>G13+1</f>
        <v>5</v>
      </c>
      <c r="J13" s="257">
        <v>0</v>
      </c>
      <c r="K13" s="259">
        <f>(D13*SUM((E13+F13)+(G13*H13)+(I13*J13)))</f>
        <v>0</v>
      </c>
      <c r="L13" s="260">
        <v>1</v>
      </c>
      <c r="M13" s="266">
        <f>K13*L13</f>
        <v>0</v>
      </c>
    </row>
    <row r="14" spans="1:13" x14ac:dyDescent="0.35">
      <c r="A14" s="254"/>
      <c r="B14" s="254"/>
      <c r="C14" s="255" t="s">
        <v>144</v>
      </c>
      <c r="D14" s="256">
        <v>0</v>
      </c>
      <c r="E14" s="257">
        <v>0</v>
      </c>
      <c r="F14" s="257">
        <v>0</v>
      </c>
      <c r="G14" s="256">
        <v>4</v>
      </c>
      <c r="H14" s="257">
        <v>0</v>
      </c>
      <c r="I14" s="258">
        <f>G14+1</f>
        <v>5</v>
      </c>
      <c r="J14" s="257">
        <v>0</v>
      </c>
      <c r="K14" s="259">
        <f>(D14*SUM((E14+F14)+(G14*H14)+(I14*J14)))</f>
        <v>0</v>
      </c>
      <c r="L14" s="260">
        <v>1</v>
      </c>
      <c r="M14" s="266">
        <f>K14*L14</f>
        <v>0</v>
      </c>
    </row>
    <row r="15" spans="1:13" x14ac:dyDescent="0.35">
      <c r="A15" s="254"/>
      <c r="B15" s="254"/>
      <c r="C15" s="255" t="s">
        <v>144</v>
      </c>
      <c r="D15" s="256">
        <v>0</v>
      </c>
      <c r="E15" s="257">
        <v>0</v>
      </c>
      <c r="F15" s="257">
        <v>0</v>
      </c>
      <c r="G15" s="256">
        <v>4</v>
      </c>
      <c r="H15" s="257">
        <v>0</v>
      </c>
      <c r="I15" s="258">
        <f>G15+1</f>
        <v>5</v>
      </c>
      <c r="J15" s="257">
        <v>0</v>
      </c>
      <c r="K15" s="259">
        <f>(D15*SUM((E15+F15)+(G15*H15)+(I15*J15)))</f>
        <v>0</v>
      </c>
      <c r="L15" s="260">
        <v>1</v>
      </c>
      <c r="M15" s="266">
        <f>K15*L15</f>
        <v>0</v>
      </c>
    </row>
    <row r="16" spans="1:13" x14ac:dyDescent="0.35">
      <c r="A16" s="254"/>
      <c r="B16" s="254"/>
      <c r="C16" s="255" t="s">
        <v>144</v>
      </c>
      <c r="D16" s="256">
        <v>0</v>
      </c>
      <c r="E16" s="257">
        <v>0</v>
      </c>
      <c r="F16" s="257">
        <v>0</v>
      </c>
      <c r="G16" s="256">
        <v>4</v>
      </c>
      <c r="H16" s="257">
        <v>0</v>
      </c>
      <c r="I16" s="258">
        <f>G16+1</f>
        <v>5</v>
      </c>
      <c r="J16" s="257">
        <v>0</v>
      </c>
      <c r="K16" s="259">
        <f>(D16*SUM((E16+F16)+(G16*H16)+(I16*J16)))</f>
        <v>0</v>
      </c>
      <c r="L16" s="260">
        <v>1</v>
      </c>
      <c r="M16" s="266">
        <f>K16*L16</f>
        <v>0</v>
      </c>
    </row>
    <row r="17" spans="1:13" ht="15" thickBot="1" x14ac:dyDescent="0.4">
      <c r="A17" s="254"/>
      <c r="B17" s="254"/>
      <c r="C17" s="255" t="s">
        <v>144</v>
      </c>
      <c r="D17" s="256">
        <v>0</v>
      </c>
      <c r="E17" s="257">
        <v>0</v>
      </c>
      <c r="F17" s="257">
        <v>0</v>
      </c>
      <c r="G17" s="256">
        <v>4</v>
      </c>
      <c r="H17" s="257">
        <v>0</v>
      </c>
      <c r="I17" s="258">
        <f>G17+1</f>
        <v>5</v>
      </c>
      <c r="J17" s="257">
        <v>0</v>
      </c>
      <c r="K17" s="259">
        <f>(D17*SUM((E17+F17)+(G17*H17)+(I17*J17)))</f>
        <v>0</v>
      </c>
      <c r="L17" s="260">
        <v>1</v>
      </c>
      <c r="M17" s="266">
        <f>K17*L17</f>
        <v>0</v>
      </c>
    </row>
    <row r="18" spans="1:13" ht="15" thickBot="1" x14ac:dyDescent="0.4">
      <c r="A18" s="251"/>
      <c r="B18" s="251"/>
      <c r="C18" s="252"/>
      <c r="D18" s="253"/>
      <c r="E18" s="253"/>
      <c r="F18" s="253"/>
      <c r="G18" s="253"/>
      <c r="H18" s="253"/>
      <c r="I18" s="253"/>
      <c r="J18" s="253"/>
      <c r="K18" s="253"/>
      <c r="L18" s="253"/>
      <c r="M18" s="261">
        <f>SUM(M13:M17)</f>
        <v>0</v>
      </c>
    </row>
    <row r="21" spans="1:13" x14ac:dyDescent="0.35">
      <c r="A21" s="429" t="s">
        <v>3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ht="29" x14ac:dyDescent="0.35">
      <c r="A22" s="267" t="s">
        <v>182</v>
      </c>
      <c r="B22" s="267" t="s">
        <v>181</v>
      </c>
      <c r="C22" s="267" t="s">
        <v>171</v>
      </c>
      <c r="D22" s="267" t="s">
        <v>177</v>
      </c>
      <c r="E22" s="267" t="s">
        <v>63</v>
      </c>
      <c r="F22" s="267" t="s">
        <v>172</v>
      </c>
      <c r="G22" s="267" t="s">
        <v>173</v>
      </c>
      <c r="H22" s="267" t="s">
        <v>178</v>
      </c>
      <c r="I22" s="267" t="s">
        <v>174</v>
      </c>
      <c r="J22" s="267" t="s">
        <v>179</v>
      </c>
      <c r="K22" s="267" t="s">
        <v>175</v>
      </c>
      <c r="L22" s="268" t="s">
        <v>176</v>
      </c>
      <c r="M22" s="267" t="s">
        <v>180</v>
      </c>
    </row>
    <row r="23" spans="1:13" x14ac:dyDescent="0.35">
      <c r="A23" s="254"/>
      <c r="B23" s="254"/>
      <c r="C23" s="255" t="s">
        <v>144</v>
      </c>
      <c r="D23" s="256">
        <v>0</v>
      </c>
      <c r="E23" s="257">
        <v>0</v>
      </c>
      <c r="F23" s="257">
        <v>0</v>
      </c>
      <c r="G23" s="256">
        <v>4</v>
      </c>
      <c r="H23" s="257">
        <v>0</v>
      </c>
      <c r="I23" s="258">
        <f>G23+1</f>
        <v>5</v>
      </c>
      <c r="J23" s="257">
        <v>0</v>
      </c>
      <c r="K23" s="259">
        <f>(D23*SUM((E23+F23)+(G23*H23)+(I23*J23)))</f>
        <v>0</v>
      </c>
      <c r="L23" s="260">
        <v>1</v>
      </c>
      <c r="M23" s="266">
        <f>K23*L23</f>
        <v>0</v>
      </c>
    </row>
    <row r="24" spans="1:13" x14ac:dyDescent="0.35">
      <c r="A24" s="254"/>
      <c r="B24" s="254"/>
      <c r="C24" s="255" t="s">
        <v>144</v>
      </c>
      <c r="D24" s="256">
        <v>0</v>
      </c>
      <c r="E24" s="257">
        <v>0</v>
      </c>
      <c r="F24" s="257">
        <v>0</v>
      </c>
      <c r="G24" s="256">
        <v>4</v>
      </c>
      <c r="H24" s="257">
        <v>0</v>
      </c>
      <c r="I24" s="258">
        <f>G24+1</f>
        <v>5</v>
      </c>
      <c r="J24" s="257">
        <v>0</v>
      </c>
      <c r="K24" s="259">
        <f>(D24*SUM((E24+F24)+(G24*H24)+(I24*J24)))</f>
        <v>0</v>
      </c>
      <c r="L24" s="260">
        <v>1</v>
      </c>
      <c r="M24" s="266">
        <f>K24*L24</f>
        <v>0</v>
      </c>
    </row>
    <row r="25" spans="1:13" x14ac:dyDescent="0.35">
      <c r="A25" s="254"/>
      <c r="B25" s="254"/>
      <c r="C25" s="255" t="s">
        <v>144</v>
      </c>
      <c r="D25" s="256">
        <v>0</v>
      </c>
      <c r="E25" s="257">
        <v>0</v>
      </c>
      <c r="F25" s="257">
        <v>0</v>
      </c>
      <c r="G25" s="256">
        <v>4</v>
      </c>
      <c r="H25" s="257">
        <v>0</v>
      </c>
      <c r="I25" s="258">
        <f>G25+1</f>
        <v>5</v>
      </c>
      <c r="J25" s="257">
        <v>0</v>
      </c>
      <c r="K25" s="259">
        <f>(D25*SUM((E25+F25)+(G25*H25)+(I25*J25)))</f>
        <v>0</v>
      </c>
      <c r="L25" s="260">
        <v>1</v>
      </c>
      <c r="M25" s="266">
        <f>K25*L25</f>
        <v>0</v>
      </c>
    </row>
    <row r="26" spans="1:13" x14ac:dyDescent="0.35">
      <c r="A26" s="254"/>
      <c r="B26" s="254"/>
      <c r="C26" s="255" t="s">
        <v>144</v>
      </c>
      <c r="D26" s="256">
        <v>0</v>
      </c>
      <c r="E26" s="257">
        <v>0</v>
      </c>
      <c r="F26" s="257">
        <v>0</v>
      </c>
      <c r="G26" s="256">
        <v>4</v>
      </c>
      <c r="H26" s="257">
        <v>0</v>
      </c>
      <c r="I26" s="258">
        <f>G26+1</f>
        <v>5</v>
      </c>
      <c r="J26" s="257">
        <v>0</v>
      </c>
      <c r="K26" s="259">
        <f>(D26*SUM((E26+F26)+(G26*H26)+(I26*J26)))</f>
        <v>0</v>
      </c>
      <c r="L26" s="260">
        <v>1</v>
      </c>
      <c r="M26" s="266">
        <f>K26*L26</f>
        <v>0</v>
      </c>
    </row>
    <row r="27" spans="1:13" ht="15" thickBot="1" x14ac:dyDescent="0.4">
      <c r="A27" s="254"/>
      <c r="B27" s="254"/>
      <c r="C27" s="255" t="s">
        <v>144</v>
      </c>
      <c r="D27" s="256">
        <v>0</v>
      </c>
      <c r="E27" s="257">
        <v>0</v>
      </c>
      <c r="F27" s="257">
        <v>0</v>
      </c>
      <c r="G27" s="256">
        <v>4</v>
      </c>
      <c r="H27" s="257">
        <v>0</v>
      </c>
      <c r="I27" s="258">
        <f>G27+1</f>
        <v>5</v>
      </c>
      <c r="J27" s="257">
        <v>0</v>
      </c>
      <c r="K27" s="259">
        <f>(D27*SUM((E27+F27)+(G27*H27)+(I27*J27)))</f>
        <v>0</v>
      </c>
      <c r="L27" s="260">
        <v>1</v>
      </c>
      <c r="M27" s="266">
        <f>K27*L27</f>
        <v>0</v>
      </c>
    </row>
    <row r="28" spans="1:13" ht="15" thickBot="1" x14ac:dyDescent="0.4">
      <c r="A28" s="251"/>
      <c r="B28" s="251"/>
      <c r="C28" s="252"/>
      <c r="D28" s="253"/>
      <c r="E28" s="253"/>
      <c r="F28" s="253"/>
      <c r="G28" s="253"/>
      <c r="H28" s="253"/>
      <c r="I28" s="253"/>
      <c r="J28" s="253"/>
      <c r="K28" s="253"/>
      <c r="L28" s="253"/>
      <c r="M28" s="261">
        <f>SUM(M23:M27)</f>
        <v>0</v>
      </c>
    </row>
    <row r="31" spans="1:13" x14ac:dyDescent="0.35">
      <c r="A31" s="429" t="s">
        <v>39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1"/>
    </row>
    <row r="32" spans="1:13" ht="29" x14ac:dyDescent="0.35">
      <c r="A32" s="267" t="s">
        <v>182</v>
      </c>
      <c r="B32" s="267" t="s">
        <v>181</v>
      </c>
      <c r="C32" s="267" t="s">
        <v>171</v>
      </c>
      <c r="D32" s="267" t="s">
        <v>177</v>
      </c>
      <c r="E32" s="267" t="s">
        <v>63</v>
      </c>
      <c r="F32" s="267" t="s">
        <v>172</v>
      </c>
      <c r="G32" s="267" t="s">
        <v>173</v>
      </c>
      <c r="H32" s="267" t="s">
        <v>178</v>
      </c>
      <c r="I32" s="267" t="s">
        <v>174</v>
      </c>
      <c r="J32" s="267" t="s">
        <v>179</v>
      </c>
      <c r="K32" s="267" t="s">
        <v>175</v>
      </c>
      <c r="L32" s="268" t="s">
        <v>176</v>
      </c>
      <c r="M32" s="267" t="s">
        <v>180</v>
      </c>
    </row>
    <row r="33" spans="1:13" x14ac:dyDescent="0.35">
      <c r="A33" s="254"/>
      <c r="B33" s="254"/>
      <c r="C33" s="255" t="s">
        <v>144</v>
      </c>
      <c r="D33" s="256">
        <v>0</v>
      </c>
      <c r="E33" s="257">
        <v>0</v>
      </c>
      <c r="F33" s="257">
        <v>0</v>
      </c>
      <c r="G33" s="256">
        <v>4</v>
      </c>
      <c r="H33" s="257">
        <v>0</v>
      </c>
      <c r="I33" s="258">
        <f>G33+1</f>
        <v>5</v>
      </c>
      <c r="J33" s="257">
        <v>0</v>
      </c>
      <c r="K33" s="259">
        <f>(D33*SUM((E33+F33)+(G33*H33)+(I33*J33)))</f>
        <v>0</v>
      </c>
      <c r="L33" s="260">
        <v>1</v>
      </c>
      <c r="M33" s="266">
        <f>K33*L33</f>
        <v>0</v>
      </c>
    </row>
    <row r="34" spans="1:13" x14ac:dyDescent="0.35">
      <c r="A34" s="254"/>
      <c r="B34" s="254"/>
      <c r="C34" s="255" t="s">
        <v>144</v>
      </c>
      <c r="D34" s="256">
        <v>0</v>
      </c>
      <c r="E34" s="257">
        <v>0</v>
      </c>
      <c r="F34" s="257">
        <v>0</v>
      </c>
      <c r="G34" s="256">
        <v>4</v>
      </c>
      <c r="H34" s="257">
        <v>0</v>
      </c>
      <c r="I34" s="258">
        <f>G34+1</f>
        <v>5</v>
      </c>
      <c r="J34" s="257">
        <v>0</v>
      </c>
      <c r="K34" s="259">
        <f>(D34*SUM((E34+F34)+(G34*H34)+(I34*J34)))</f>
        <v>0</v>
      </c>
      <c r="L34" s="260">
        <v>1</v>
      </c>
      <c r="M34" s="266">
        <f>K34*L34</f>
        <v>0</v>
      </c>
    </row>
    <row r="35" spans="1:13" x14ac:dyDescent="0.35">
      <c r="A35" s="254"/>
      <c r="B35" s="254"/>
      <c r="C35" s="255" t="s">
        <v>144</v>
      </c>
      <c r="D35" s="256">
        <v>0</v>
      </c>
      <c r="E35" s="257">
        <v>0</v>
      </c>
      <c r="F35" s="257">
        <v>0</v>
      </c>
      <c r="G35" s="256">
        <v>4</v>
      </c>
      <c r="H35" s="257">
        <v>0</v>
      </c>
      <c r="I35" s="258">
        <f>G35+1</f>
        <v>5</v>
      </c>
      <c r="J35" s="257">
        <v>0</v>
      </c>
      <c r="K35" s="259">
        <f>(D35*SUM((E35+F35)+(G35*H35)+(I35*J35)))</f>
        <v>0</v>
      </c>
      <c r="L35" s="260">
        <v>1</v>
      </c>
      <c r="M35" s="266">
        <f>K35*L35</f>
        <v>0</v>
      </c>
    </row>
    <row r="36" spans="1:13" x14ac:dyDescent="0.35">
      <c r="A36" s="254"/>
      <c r="B36" s="254"/>
      <c r="C36" s="255" t="s">
        <v>144</v>
      </c>
      <c r="D36" s="256">
        <v>0</v>
      </c>
      <c r="E36" s="257">
        <v>0</v>
      </c>
      <c r="F36" s="257">
        <v>0</v>
      </c>
      <c r="G36" s="256">
        <v>4</v>
      </c>
      <c r="H36" s="257">
        <v>0</v>
      </c>
      <c r="I36" s="258">
        <f>G36+1</f>
        <v>5</v>
      </c>
      <c r="J36" s="257">
        <v>0</v>
      </c>
      <c r="K36" s="259">
        <f>(D36*SUM((E36+F36)+(G36*H36)+(I36*J36)))</f>
        <v>0</v>
      </c>
      <c r="L36" s="260">
        <v>1</v>
      </c>
      <c r="M36" s="266">
        <f>K36*L36</f>
        <v>0</v>
      </c>
    </row>
    <row r="37" spans="1:13" ht="15" thickBot="1" x14ac:dyDescent="0.4">
      <c r="A37" s="254"/>
      <c r="B37" s="254"/>
      <c r="C37" s="255" t="s">
        <v>144</v>
      </c>
      <c r="D37" s="256">
        <v>0</v>
      </c>
      <c r="E37" s="257">
        <v>0</v>
      </c>
      <c r="F37" s="257">
        <v>0</v>
      </c>
      <c r="G37" s="256">
        <v>4</v>
      </c>
      <c r="H37" s="257">
        <v>0</v>
      </c>
      <c r="I37" s="258">
        <f>G37+1</f>
        <v>5</v>
      </c>
      <c r="J37" s="257">
        <v>0</v>
      </c>
      <c r="K37" s="259">
        <f>(D37*SUM((E37+F37)+(G37*H37)+(I37*J37)))</f>
        <v>0</v>
      </c>
      <c r="L37" s="260">
        <v>1</v>
      </c>
      <c r="M37" s="266">
        <f>K37*L37</f>
        <v>0</v>
      </c>
    </row>
    <row r="38" spans="1:13" ht="15" thickBot="1" x14ac:dyDescent="0.4">
      <c r="A38" s="251"/>
      <c r="B38" s="251"/>
      <c r="C38" s="252"/>
      <c r="D38" s="253"/>
      <c r="E38" s="253"/>
      <c r="F38" s="253"/>
      <c r="G38" s="253"/>
      <c r="H38" s="253"/>
      <c r="I38" s="253"/>
      <c r="J38" s="253"/>
      <c r="K38" s="253"/>
      <c r="L38" s="253"/>
      <c r="M38" s="261">
        <f>SUM(M33:M37)</f>
        <v>0</v>
      </c>
    </row>
    <row r="41" spans="1:13" x14ac:dyDescent="0.35">
      <c r="A41" s="429" t="s">
        <v>45</v>
      </c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1"/>
    </row>
    <row r="42" spans="1:13" ht="29" x14ac:dyDescent="0.35">
      <c r="A42" s="267" t="s">
        <v>182</v>
      </c>
      <c r="B42" s="267" t="s">
        <v>181</v>
      </c>
      <c r="C42" s="267" t="s">
        <v>171</v>
      </c>
      <c r="D42" s="267" t="s">
        <v>177</v>
      </c>
      <c r="E42" s="267" t="s">
        <v>63</v>
      </c>
      <c r="F42" s="267" t="s">
        <v>172</v>
      </c>
      <c r="G42" s="267" t="s">
        <v>173</v>
      </c>
      <c r="H42" s="267" t="s">
        <v>178</v>
      </c>
      <c r="I42" s="267" t="s">
        <v>174</v>
      </c>
      <c r="J42" s="267" t="s">
        <v>179</v>
      </c>
      <c r="K42" s="267" t="s">
        <v>175</v>
      </c>
      <c r="L42" s="268" t="s">
        <v>176</v>
      </c>
      <c r="M42" s="267" t="s">
        <v>180</v>
      </c>
    </row>
    <row r="43" spans="1:13" x14ac:dyDescent="0.35">
      <c r="A43" s="254"/>
      <c r="B43" s="254"/>
      <c r="C43" s="255" t="s">
        <v>144</v>
      </c>
      <c r="D43" s="256">
        <v>0</v>
      </c>
      <c r="E43" s="257">
        <v>0</v>
      </c>
      <c r="F43" s="257">
        <v>0</v>
      </c>
      <c r="G43" s="256">
        <v>4</v>
      </c>
      <c r="H43" s="257">
        <v>0</v>
      </c>
      <c r="I43" s="258">
        <f>G43+1</f>
        <v>5</v>
      </c>
      <c r="J43" s="257">
        <v>0</v>
      </c>
      <c r="K43" s="259">
        <f>(D43*SUM((E43+F43)+(G43*H43)+(I43*J43)))</f>
        <v>0</v>
      </c>
      <c r="L43" s="260">
        <v>1</v>
      </c>
      <c r="M43" s="266">
        <f>K43*L43</f>
        <v>0</v>
      </c>
    </row>
    <row r="44" spans="1:13" x14ac:dyDescent="0.35">
      <c r="A44" s="254"/>
      <c r="B44" s="254"/>
      <c r="C44" s="255" t="s">
        <v>144</v>
      </c>
      <c r="D44" s="256">
        <v>0</v>
      </c>
      <c r="E44" s="257">
        <v>0</v>
      </c>
      <c r="F44" s="257">
        <v>0</v>
      </c>
      <c r="G44" s="256">
        <v>4</v>
      </c>
      <c r="H44" s="257">
        <v>0</v>
      </c>
      <c r="I44" s="258">
        <f>G44+1</f>
        <v>5</v>
      </c>
      <c r="J44" s="257">
        <v>0</v>
      </c>
      <c r="K44" s="259">
        <f>(D44*SUM((E44+F44)+(G44*H44)+(I44*J44)))</f>
        <v>0</v>
      </c>
      <c r="L44" s="260">
        <v>1</v>
      </c>
      <c r="M44" s="266">
        <f>K44*L44</f>
        <v>0</v>
      </c>
    </row>
    <row r="45" spans="1:13" x14ac:dyDescent="0.35">
      <c r="A45" s="254"/>
      <c r="B45" s="254"/>
      <c r="C45" s="255" t="s">
        <v>144</v>
      </c>
      <c r="D45" s="256">
        <v>0</v>
      </c>
      <c r="E45" s="257">
        <v>0</v>
      </c>
      <c r="F45" s="257">
        <v>0</v>
      </c>
      <c r="G45" s="256">
        <v>4</v>
      </c>
      <c r="H45" s="257">
        <v>0</v>
      </c>
      <c r="I45" s="258">
        <f>G45+1</f>
        <v>5</v>
      </c>
      <c r="J45" s="257">
        <v>0</v>
      </c>
      <c r="K45" s="259">
        <f>(D45*SUM((E45+F45)+(G45*H45)+(I45*J45)))</f>
        <v>0</v>
      </c>
      <c r="L45" s="260">
        <v>1</v>
      </c>
      <c r="M45" s="266">
        <f>K45*L45</f>
        <v>0</v>
      </c>
    </row>
    <row r="46" spans="1:13" x14ac:dyDescent="0.35">
      <c r="A46" s="254"/>
      <c r="B46" s="254"/>
      <c r="C46" s="255" t="s">
        <v>144</v>
      </c>
      <c r="D46" s="256">
        <v>0</v>
      </c>
      <c r="E46" s="257">
        <v>0</v>
      </c>
      <c r="F46" s="257">
        <v>0</v>
      </c>
      <c r="G46" s="256">
        <v>4</v>
      </c>
      <c r="H46" s="257">
        <v>0</v>
      </c>
      <c r="I46" s="258">
        <f>G46+1</f>
        <v>5</v>
      </c>
      <c r="J46" s="257">
        <v>0</v>
      </c>
      <c r="K46" s="259">
        <f>(D46*SUM((E46+F46)+(G46*H46)+(I46*J46)))</f>
        <v>0</v>
      </c>
      <c r="L46" s="260">
        <v>1</v>
      </c>
      <c r="M46" s="266">
        <f>K46*L46</f>
        <v>0</v>
      </c>
    </row>
    <row r="47" spans="1:13" ht="15" thickBot="1" x14ac:dyDescent="0.4">
      <c r="A47" s="254"/>
      <c r="B47" s="254"/>
      <c r="C47" s="255" t="s">
        <v>144</v>
      </c>
      <c r="D47" s="256">
        <v>0</v>
      </c>
      <c r="E47" s="257">
        <v>0</v>
      </c>
      <c r="F47" s="257">
        <v>0</v>
      </c>
      <c r="G47" s="256">
        <v>4</v>
      </c>
      <c r="H47" s="257">
        <v>0</v>
      </c>
      <c r="I47" s="258">
        <f>G47+1</f>
        <v>5</v>
      </c>
      <c r="J47" s="257">
        <v>0</v>
      </c>
      <c r="K47" s="259">
        <f>(D47*SUM((E47+F47)+(G47*H47)+(I47*J47)))</f>
        <v>0</v>
      </c>
      <c r="L47" s="260">
        <v>1</v>
      </c>
      <c r="M47" s="266">
        <f>K47*L47</f>
        <v>0</v>
      </c>
    </row>
    <row r="48" spans="1:13" ht="15" thickBot="1" x14ac:dyDescent="0.4">
      <c r="A48" s="251"/>
      <c r="B48" s="251"/>
      <c r="C48" s="252"/>
      <c r="D48" s="253"/>
      <c r="E48" s="253"/>
      <c r="F48" s="253"/>
      <c r="G48" s="253"/>
      <c r="H48" s="253"/>
      <c r="I48" s="253"/>
      <c r="J48" s="253"/>
      <c r="K48" s="253"/>
      <c r="L48" s="253"/>
      <c r="M48" s="261">
        <f>SUM(M43:M47)</f>
        <v>0</v>
      </c>
    </row>
    <row r="51" spans="1:13" x14ac:dyDescent="0.35">
      <c r="A51" s="429" t="s">
        <v>185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1"/>
    </row>
    <row r="52" spans="1:13" ht="29" x14ac:dyDescent="0.35">
      <c r="A52" s="267" t="s">
        <v>182</v>
      </c>
      <c r="B52" s="267" t="s">
        <v>181</v>
      </c>
      <c r="C52" s="267" t="s">
        <v>171</v>
      </c>
      <c r="D52" s="267" t="s">
        <v>177</v>
      </c>
      <c r="E52" s="267" t="s">
        <v>63</v>
      </c>
      <c r="F52" s="267" t="s">
        <v>172</v>
      </c>
      <c r="G52" s="267" t="s">
        <v>173</v>
      </c>
      <c r="H52" s="267" t="s">
        <v>178</v>
      </c>
      <c r="I52" s="267" t="s">
        <v>174</v>
      </c>
      <c r="J52" s="267" t="s">
        <v>179</v>
      </c>
      <c r="K52" s="267" t="s">
        <v>175</v>
      </c>
      <c r="L52" s="268" t="s">
        <v>176</v>
      </c>
      <c r="M52" s="267" t="s">
        <v>180</v>
      </c>
    </row>
    <row r="53" spans="1:13" x14ac:dyDescent="0.35">
      <c r="A53" s="254"/>
      <c r="B53" s="254"/>
      <c r="C53" s="255" t="s">
        <v>144</v>
      </c>
      <c r="D53" s="256">
        <v>0</v>
      </c>
      <c r="E53" s="257">
        <v>0</v>
      </c>
      <c r="F53" s="257">
        <v>0</v>
      </c>
      <c r="G53" s="256">
        <v>4</v>
      </c>
      <c r="H53" s="257">
        <v>0</v>
      </c>
      <c r="I53" s="258">
        <f>G53+1</f>
        <v>5</v>
      </c>
      <c r="J53" s="257">
        <v>0</v>
      </c>
      <c r="K53" s="259">
        <f>(D53*SUM((E53+F53)+(G53*H53)+(I53*J53)))</f>
        <v>0</v>
      </c>
      <c r="L53" s="260">
        <v>1</v>
      </c>
      <c r="M53" s="266">
        <f>K53*L53</f>
        <v>0</v>
      </c>
    </row>
    <row r="54" spans="1:13" x14ac:dyDescent="0.35">
      <c r="A54" s="254"/>
      <c r="B54" s="254"/>
      <c r="C54" s="255" t="s">
        <v>144</v>
      </c>
      <c r="D54" s="256">
        <v>0</v>
      </c>
      <c r="E54" s="257">
        <v>0</v>
      </c>
      <c r="F54" s="257">
        <v>0</v>
      </c>
      <c r="G54" s="256">
        <v>4</v>
      </c>
      <c r="H54" s="257">
        <v>0</v>
      </c>
      <c r="I54" s="258">
        <f>G54+1</f>
        <v>5</v>
      </c>
      <c r="J54" s="257">
        <v>0</v>
      </c>
      <c r="K54" s="259">
        <f>(D54*SUM((E54+F54)+(G54*H54)+(I54*J54)))</f>
        <v>0</v>
      </c>
      <c r="L54" s="260">
        <v>1</v>
      </c>
      <c r="M54" s="266">
        <f>K54*L54</f>
        <v>0</v>
      </c>
    </row>
    <row r="55" spans="1:13" x14ac:dyDescent="0.35">
      <c r="A55" s="254"/>
      <c r="B55" s="254"/>
      <c r="C55" s="255" t="s">
        <v>144</v>
      </c>
      <c r="D55" s="256">
        <v>0</v>
      </c>
      <c r="E55" s="257">
        <v>0</v>
      </c>
      <c r="F55" s="257">
        <v>0</v>
      </c>
      <c r="G55" s="256">
        <v>4</v>
      </c>
      <c r="H55" s="257">
        <v>0</v>
      </c>
      <c r="I55" s="258">
        <f>G55+1</f>
        <v>5</v>
      </c>
      <c r="J55" s="257">
        <v>0</v>
      </c>
      <c r="K55" s="259">
        <f>(D55*SUM((E55+F55)+(G55*H55)+(I55*J55)))</f>
        <v>0</v>
      </c>
      <c r="L55" s="260">
        <v>1</v>
      </c>
      <c r="M55" s="266">
        <f>K55*L55</f>
        <v>0</v>
      </c>
    </row>
    <row r="56" spans="1:13" x14ac:dyDescent="0.35">
      <c r="A56" s="254"/>
      <c r="B56" s="254"/>
      <c r="C56" s="255" t="s">
        <v>144</v>
      </c>
      <c r="D56" s="256">
        <v>0</v>
      </c>
      <c r="E56" s="257">
        <v>0</v>
      </c>
      <c r="F56" s="257">
        <v>0</v>
      </c>
      <c r="G56" s="256">
        <v>4</v>
      </c>
      <c r="H56" s="257">
        <v>0</v>
      </c>
      <c r="I56" s="258">
        <f>G56+1</f>
        <v>5</v>
      </c>
      <c r="J56" s="257">
        <v>0</v>
      </c>
      <c r="K56" s="259">
        <f>(D56*SUM((E56+F56)+(G56*H56)+(I56*J56)))</f>
        <v>0</v>
      </c>
      <c r="L56" s="260">
        <v>1</v>
      </c>
      <c r="M56" s="266">
        <f>K56*L56</f>
        <v>0</v>
      </c>
    </row>
    <row r="57" spans="1:13" ht="15" thickBot="1" x14ac:dyDescent="0.4">
      <c r="A57" s="254"/>
      <c r="B57" s="254"/>
      <c r="C57" s="255" t="s">
        <v>144</v>
      </c>
      <c r="D57" s="256">
        <v>0</v>
      </c>
      <c r="E57" s="257">
        <v>0</v>
      </c>
      <c r="F57" s="257">
        <v>0</v>
      </c>
      <c r="G57" s="256">
        <v>4</v>
      </c>
      <c r="H57" s="257">
        <v>0</v>
      </c>
      <c r="I57" s="258">
        <f>G57+1</f>
        <v>5</v>
      </c>
      <c r="J57" s="257">
        <v>0</v>
      </c>
      <c r="K57" s="259">
        <f>(D57*SUM((E57+F57)+(G57*H57)+(I57*J57)))</f>
        <v>0</v>
      </c>
      <c r="L57" s="260">
        <v>1</v>
      </c>
      <c r="M57" s="266">
        <f>K57*L57</f>
        <v>0</v>
      </c>
    </row>
    <row r="58" spans="1:13" ht="15" thickBot="1" x14ac:dyDescent="0.4">
      <c r="A58" s="251"/>
      <c r="B58" s="251"/>
      <c r="C58" s="252"/>
      <c r="D58" s="253"/>
      <c r="E58" s="253"/>
      <c r="F58" s="253"/>
      <c r="G58" s="253"/>
      <c r="H58" s="253"/>
      <c r="I58" s="253"/>
      <c r="J58" s="253"/>
      <c r="K58" s="253"/>
      <c r="L58" s="253"/>
      <c r="M58" s="261">
        <f>SUM(M53:M57)</f>
        <v>0</v>
      </c>
    </row>
    <row r="62" spans="1:13" x14ac:dyDescent="0.35">
      <c r="A62" s="429" t="s">
        <v>186</v>
      </c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1"/>
    </row>
    <row r="63" spans="1:13" ht="29" x14ac:dyDescent="0.35">
      <c r="A63" s="267" t="s">
        <v>182</v>
      </c>
      <c r="B63" s="267" t="s">
        <v>181</v>
      </c>
      <c r="C63" s="267" t="s">
        <v>171</v>
      </c>
      <c r="D63" s="267" t="s">
        <v>177</v>
      </c>
      <c r="E63" s="267" t="s">
        <v>63</v>
      </c>
      <c r="F63" s="267" t="s">
        <v>172</v>
      </c>
      <c r="G63" s="267" t="s">
        <v>173</v>
      </c>
      <c r="H63" s="267" t="s">
        <v>178</v>
      </c>
      <c r="I63" s="267" t="s">
        <v>174</v>
      </c>
      <c r="J63" s="267" t="s">
        <v>179</v>
      </c>
      <c r="K63" s="267" t="s">
        <v>175</v>
      </c>
      <c r="L63" s="268" t="s">
        <v>176</v>
      </c>
      <c r="M63" s="267" t="s">
        <v>180</v>
      </c>
    </row>
    <row r="64" spans="1:13" x14ac:dyDescent="0.35">
      <c r="A64" s="254"/>
      <c r="B64" s="254"/>
      <c r="C64" s="255" t="s">
        <v>144</v>
      </c>
      <c r="D64" s="256">
        <v>0</v>
      </c>
      <c r="E64" s="257">
        <v>0</v>
      </c>
      <c r="F64" s="257">
        <v>0</v>
      </c>
      <c r="G64" s="256">
        <v>4</v>
      </c>
      <c r="H64" s="257">
        <v>0</v>
      </c>
      <c r="I64" s="258">
        <f>G64+1</f>
        <v>5</v>
      </c>
      <c r="J64" s="257">
        <v>0</v>
      </c>
      <c r="K64" s="259">
        <f>(D64*SUM((E64+F64)+(G64*H64)+(I64*J64)))</f>
        <v>0</v>
      </c>
      <c r="L64" s="260">
        <v>1</v>
      </c>
      <c r="M64" s="266">
        <f>K64*L64</f>
        <v>0</v>
      </c>
    </row>
    <row r="65" spans="1:13" x14ac:dyDescent="0.35">
      <c r="A65" s="254"/>
      <c r="B65" s="254"/>
      <c r="C65" s="255" t="s">
        <v>144</v>
      </c>
      <c r="D65" s="256">
        <v>0</v>
      </c>
      <c r="E65" s="257">
        <v>0</v>
      </c>
      <c r="F65" s="257">
        <v>0</v>
      </c>
      <c r="G65" s="256">
        <v>4</v>
      </c>
      <c r="H65" s="257">
        <v>0</v>
      </c>
      <c r="I65" s="258">
        <f>G65+1</f>
        <v>5</v>
      </c>
      <c r="J65" s="257">
        <v>0</v>
      </c>
      <c r="K65" s="259">
        <f>(D65*SUM((E65+F65)+(G65*H65)+(I65*J65)))</f>
        <v>0</v>
      </c>
      <c r="L65" s="260">
        <v>1</v>
      </c>
      <c r="M65" s="266">
        <f>K65*L65</f>
        <v>0</v>
      </c>
    </row>
    <row r="66" spans="1:13" x14ac:dyDescent="0.35">
      <c r="A66" s="254"/>
      <c r="B66" s="254"/>
      <c r="C66" s="255" t="s">
        <v>144</v>
      </c>
      <c r="D66" s="256">
        <v>0</v>
      </c>
      <c r="E66" s="257">
        <v>0</v>
      </c>
      <c r="F66" s="257">
        <v>0</v>
      </c>
      <c r="G66" s="256">
        <v>4</v>
      </c>
      <c r="H66" s="257">
        <v>0</v>
      </c>
      <c r="I66" s="258">
        <f>G66+1</f>
        <v>5</v>
      </c>
      <c r="J66" s="257">
        <v>0</v>
      </c>
      <c r="K66" s="259">
        <f>(D66*SUM((E66+F66)+(G66*H66)+(I66*J66)))</f>
        <v>0</v>
      </c>
      <c r="L66" s="260">
        <v>1</v>
      </c>
      <c r="M66" s="266">
        <f>K66*L66</f>
        <v>0</v>
      </c>
    </row>
    <row r="67" spans="1:13" x14ac:dyDescent="0.35">
      <c r="A67" s="254"/>
      <c r="B67" s="254"/>
      <c r="C67" s="255" t="s">
        <v>144</v>
      </c>
      <c r="D67" s="256">
        <v>0</v>
      </c>
      <c r="E67" s="257">
        <v>0</v>
      </c>
      <c r="F67" s="257">
        <v>0</v>
      </c>
      <c r="G67" s="256">
        <v>4</v>
      </c>
      <c r="H67" s="257">
        <v>0</v>
      </c>
      <c r="I67" s="258">
        <f>G67+1</f>
        <v>5</v>
      </c>
      <c r="J67" s="257">
        <v>0</v>
      </c>
      <c r="K67" s="259">
        <f>(D67*SUM((E67+F67)+(G67*H67)+(I67*J67)))</f>
        <v>0</v>
      </c>
      <c r="L67" s="260">
        <v>1</v>
      </c>
      <c r="M67" s="266">
        <f>K67*L67</f>
        <v>0</v>
      </c>
    </row>
    <row r="68" spans="1:13" ht="15" thickBot="1" x14ac:dyDescent="0.4">
      <c r="A68" s="254"/>
      <c r="B68" s="254"/>
      <c r="C68" s="255" t="s">
        <v>144</v>
      </c>
      <c r="D68" s="256">
        <v>0</v>
      </c>
      <c r="E68" s="257">
        <v>0</v>
      </c>
      <c r="F68" s="257">
        <v>0</v>
      </c>
      <c r="G68" s="256">
        <v>4</v>
      </c>
      <c r="H68" s="257">
        <v>0</v>
      </c>
      <c r="I68" s="258">
        <f>G68+1</f>
        <v>5</v>
      </c>
      <c r="J68" s="257">
        <v>0</v>
      </c>
      <c r="K68" s="259">
        <f>(D68*SUM((E68+F68)+(G68*H68)+(I68*J68)))</f>
        <v>0</v>
      </c>
      <c r="L68" s="260">
        <v>1</v>
      </c>
      <c r="M68" s="266">
        <f>K68*L68</f>
        <v>0</v>
      </c>
    </row>
    <row r="69" spans="1:13" ht="15" thickBot="1" x14ac:dyDescent="0.4">
      <c r="A69" s="251"/>
      <c r="B69" s="251"/>
      <c r="C69" s="252"/>
      <c r="D69" s="253"/>
      <c r="E69" s="253"/>
      <c r="F69" s="253"/>
      <c r="G69" s="253"/>
      <c r="H69" s="253"/>
      <c r="I69" s="253"/>
      <c r="J69" s="253"/>
      <c r="K69" s="253"/>
      <c r="L69" s="253"/>
      <c r="M69" s="261">
        <f>SUM(M64:M68)</f>
        <v>0</v>
      </c>
    </row>
    <row r="72" spans="1:13" x14ac:dyDescent="0.35">
      <c r="A72" s="429" t="s">
        <v>187</v>
      </c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1"/>
    </row>
    <row r="73" spans="1:13" ht="29" x14ac:dyDescent="0.35">
      <c r="A73" s="267" t="s">
        <v>182</v>
      </c>
      <c r="B73" s="267" t="s">
        <v>181</v>
      </c>
      <c r="C73" s="267" t="s">
        <v>171</v>
      </c>
      <c r="D73" s="267" t="s">
        <v>177</v>
      </c>
      <c r="E73" s="267" t="s">
        <v>63</v>
      </c>
      <c r="F73" s="267" t="s">
        <v>172</v>
      </c>
      <c r="G73" s="267" t="s">
        <v>173</v>
      </c>
      <c r="H73" s="267" t="s">
        <v>178</v>
      </c>
      <c r="I73" s="267" t="s">
        <v>174</v>
      </c>
      <c r="J73" s="267" t="s">
        <v>179</v>
      </c>
      <c r="K73" s="267" t="s">
        <v>175</v>
      </c>
      <c r="L73" s="268" t="s">
        <v>176</v>
      </c>
      <c r="M73" s="267" t="s">
        <v>180</v>
      </c>
    </row>
    <row r="74" spans="1:13" x14ac:dyDescent="0.35">
      <c r="A74" s="254"/>
      <c r="B74" s="254"/>
      <c r="C74" s="255" t="s">
        <v>144</v>
      </c>
      <c r="D74" s="256">
        <v>0</v>
      </c>
      <c r="E74" s="257">
        <v>0</v>
      </c>
      <c r="F74" s="257">
        <v>0</v>
      </c>
      <c r="G74" s="256">
        <v>4</v>
      </c>
      <c r="H74" s="257">
        <v>0</v>
      </c>
      <c r="I74" s="258">
        <f>G74+1</f>
        <v>5</v>
      </c>
      <c r="J74" s="257">
        <v>0</v>
      </c>
      <c r="K74" s="259">
        <f>(D74*SUM((E74+F74)+(G74*H74)+(I74*J74)))</f>
        <v>0</v>
      </c>
      <c r="L74" s="260">
        <v>1</v>
      </c>
      <c r="M74" s="266">
        <f>K74*L74</f>
        <v>0</v>
      </c>
    </row>
    <row r="75" spans="1:13" x14ac:dyDescent="0.35">
      <c r="A75" s="254"/>
      <c r="B75" s="254"/>
      <c r="C75" s="255" t="s">
        <v>144</v>
      </c>
      <c r="D75" s="256">
        <v>0</v>
      </c>
      <c r="E75" s="257">
        <v>0</v>
      </c>
      <c r="F75" s="257">
        <v>0</v>
      </c>
      <c r="G75" s="256">
        <v>4</v>
      </c>
      <c r="H75" s="257">
        <v>0</v>
      </c>
      <c r="I75" s="258">
        <f>G75+1</f>
        <v>5</v>
      </c>
      <c r="J75" s="257">
        <v>0</v>
      </c>
      <c r="K75" s="259">
        <f>(D75*SUM((E75+F75)+(G75*H75)+(I75*J75)))</f>
        <v>0</v>
      </c>
      <c r="L75" s="260">
        <v>1</v>
      </c>
      <c r="M75" s="266">
        <f>K75*L75</f>
        <v>0</v>
      </c>
    </row>
    <row r="76" spans="1:13" x14ac:dyDescent="0.35">
      <c r="A76" s="254"/>
      <c r="B76" s="254"/>
      <c r="C76" s="255" t="s">
        <v>144</v>
      </c>
      <c r="D76" s="256">
        <v>0</v>
      </c>
      <c r="E76" s="257">
        <v>0</v>
      </c>
      <c r="F76" s="257">
        <v>0</v>
      </c>
      <c r="G76" s="256">
        <v>4</v>
      </c>
      <c r="H76" s="257">
        <v>0</v>
      </c>
      <c r="I76" s="258">
        <f>G76+1</f>
        <v>5</v>
      </c>
      <c r="J76" s="257">
        <v>0</v>
      </c>
      <c r="K76" s="259">
        <f>(D76*SUM((E76+F76)+(G76*H76)+(I76*J76)))</f>
        <v>0</v>
      </c>
      <c r="L76" s="260">
        <v>1</v>
      </c>
      <c r="M76" s="266">
        <f>K76*L76</f>
        <v>0</v>
      </c>
    </row>
    <row r="77" spans="1:13" x14ac:dyDescent="0.35">
      <c r="A77" s="254"/>
      <c r="B77" s="254"/>
      <c r="C77" s="255" t="s">
        <v>144</v>
      </c>
      <c r="D77" s="256">
        <v>0</v>
      </c>
      <c r="E77" s="257">
        <v>0</v>
      </c>
      <c r="F77" s="257">
        <v>0</v>
      </c>
      <c r="G77" s="256">
        <v>4</v>
      </c>
      <c r="H77" s="257">
        <v>0</v>
      </c>
      <c r="I77" s="258">
        <f>G77+1</f>
        <v>5</v>
      </c>
      <c r="J77" s="257">
        <v>0</v>
      </c>
      <c r="K77" s="259">
        <f>(D77*SUM((E77+F77)+(G77*H77)+(I77*J77)))</f>
        <v>0</v>
      </c>
      <c r="L77" s="260">
        <v>1</v>
      </c>
      <c r="M77" s="266">
        <f>K77*L77</f>
        <v>0</v>
      </c>
    </row>
    <row r="78" spans="1:13" ht="15" thickBot="1" x14ac:dyDescent="0.4">
      <c r="A78" s="254"/>
      <c r="B78" s="254"/>
      <c r="C78" s="255" t="s">
        <v>144</v>
      </c>
      <c r="D78" s="256">
        <v>0</v>
      </c>
      <c r="E78" s="257">
        <v>0</v>
      </c>
      <c r="F78" s="257">
        <v>0</v>
      </c>
      <c r="G78" s="256">
        <v>4</v>
      </c>
      <c r="H78" s="257">
        <v>0</v>
      </c>
      <c r="I78" s="258">
        <f>G78+1</f>
        <v>5</v>
      </c>
      <c r="J78" s="257">
        <v>0</v>
      </c>
      <c r="K78" s="259">
        <f>(D78*SUM((E78+F78)+(G78*H78)+(I78*J78)))</f>
        <v>0</v>
      </c>
      <c r="L78" s="260">
        <v>1</v>
      </c>
      <c r="M78" s="266">
        <f>K78*L78</f>
        <v>0</v>
      </c>
    </row>
    <row r="79" spans="1:13" ht="15" thickBot="1" x14ac:dyDescent="0.4">
      <c r="A79" s="251"/>
      <c r="B79" s="251"/>
      <c r="C79" s="252"/>
      <c r="D79" s="253"/>
      <c r="E79" s="253"/>
      <c r="F79" s="253"/>
      <c r="G79" s="253"/>
      <c r="H79" s="253"/>
      <c r="I79" s="253"/>
      <c r="J79" s="253"/>
      <c r="K79" s="253"/>
      <c r="L79" s="253"/>
      <c r="M79" s="261">
        <f>SUM(M74:M78)</f>
        <v>0</v>
      </c>
    </row>
    <row r="82" spans="1:13" x14ac:dyDescent="0.35">
      <c r="A82" s="429" t="s">
        <v>188</v>
      </c>
      <c r="B82" s="430"/>
      <c r="C82" s="430"/>
      <c r="D82" s="430"/>
      <c r="E82" s="430"/>
      <c r="F82" s="430"/>
      <c r="G82" s="430"/>
      <c r="H82" s="430"/>
      <c r="I82" s="430"/>
      <c r="J82" s="430"/>
      <c r="K82" s="430"/>
      <c r="L82" s="430"/>
      <c r="M82" s="431"/>
    </row>
    <row r="83" spans="1:13" ht="29" x14ac:dyDescent="0.35">
      <c r="A83" s="267" t="s">
        <v>182</v>
      </c>
      <c r="B83" s="267" t="s">
        <v>181</v>
      </c>
      <c r="C83" s="267" t="s">
        <v>171</v>
      </c>
      <c r="D83" s="267" t="s">
        <v>177</v>
      </c>
      <c r="E83" s="267" t="s">
        <v>63</v>
      </c>
      <c r="F83" s="267" t="s">
        <v>172</v>
      </c>
      <c r="G83" s="267" t="s">
        <v>173</v>
      </c>
      <c r="H83" s="267" t="s">
        <v>178</v>
      </c>
      <c r="I83" s="267" t="s">
        <v>174</v>
      </c>
      <c r="J83" s="267" t="s">
        <v>179</v>
      </c>
      <c r="K83" s="267" t="s">
        <v>175</v>
      </c>
      <c r="L83" s="268" t="s">
        <v>176</v>
      </c>
      <c r="M83" s="267" t="s">
        <v>180</v>
      </c>
    </row>
    <row r="84" spans="1:13" x14ac:dyDescent="0.35">
      <c r="A84" s="254"/>
      <c r="B84" s="254"/>
      <c r="C84" s="255" t="s">
        <v>144</v>
      </c>
      <c r="D84" s="256">
        <v>0</v>
      </c>
      <c r="E84" s="257">
        <v>0</v>
      </c>
      <c r="F84" s="257">
        <v>0</v>
      </c>
      <c r="G84" s="256">
        <v>4</v>
      </c>
      <c r="H84" s="257">
        <v>0</v>
      </c>
      <c r="I84" s="258">
        <f>G84+1</f>
        <v>5</v>
      </c>
      <c r="J84" s="257">
        <v>0</v>
      </c>
      <c r="K84" s="259">
        <f>(D84*SUM((E84+F84)+(G84*H84)+(I84*J84)))</f>
        <v>0</v>
      </c>
      <c r="L84" s="260">
        <v>1</v>
      </c>
      <c r="M84" s="266">
        <f>K84*L84</f>
        <v>0</v>
      </c>
    </row>
    <row r="85" spans="1:13" x14ac:dyDescent="0.35">
      <c r="A85" s="254"/>
      <c r="B85" s="254"/>
      <c r="C85" s="255" t="s">
        <v>144</v>
      </c>
      <c r="D85" s="256">
        <v>0</v>
      </c>
      <c r="E85" s="257">
        <v>0</v>
      </c>
      <c r="F85" s="257">
        <v>0</v>
      </c>
      <c r="G85" s="256">
        <v>4</v>
      </c>
      <c r="H85" s="257">
        <v>0</v>
      </c>
      <c r="I85" s="258">
        <f>G85+1</f>
        <v>5</v>
      </c>
      <c r="J85" s="257">
        <v>0</v>
      </c>
      <c r="K85" s="259">
        <f>(D85*SUM((E85+F85)+(G85*H85)+(I85*J85)))</f>
        <v>0</v>
      </c>
      <c r="L85" s="260">
        <v>1</v>
      </c>
      <c r="M85" s="266">
        <f>K85*L85</f>
        <v>0</v>
      </c>
    </row>
    <row r="86" spans="1:13" x14ac:dyDescent="0.35">
      <c r="A86" s="254"/>
      <c r="B86" s="254"/>
      <c r="C86" s="255" t="s">
        <v>144</v>
      </c>
      <c r="D86" s="256">
        <v>0</v>
      </c>
      <c r="E86" s="257">
        <v>0</v>
      </c>
      <c r="F86" s="257">
        <v>0</v>
      </c>
      <c r="G86" s="256">
        <v>4</v>
      </c>
      <c r="H86" s="257">
        <v>0</v>
      </c>
      <c r="I86" s="258">
        <f>G86+1</f>
        <v>5</v>
      </c>
      <c r="J86" s="257">
        <v>0</v>
      </c>
      <c r="K86" s="259">
        <f>(D86*SUM((E86+F86)+(G86*H86)+(I86*J86)))</f>
        <v>0</v>
      </c>
      <c r="L86" s="260">
        <v>1</v>
      </c>
      <c r="M86" s="266">
        <f>K86*L86</f>
        <v>0</v>
      </c>
    </row>
    <row r="87" spans="1:13" x14ac:dyDescent="0.35">
      <c r="A87" s="254"/>
      <c r="B87" s="254"/>
      <c r="C87" s="255" t="s">
        <v>144</v>
      </c>
      <c r="D87" s="256">
        <v>0</v>
      </c>
      <c r="E87" s="257">
        <v>0</v>
      </c>
      <c r="F87" s="257">
        <v>0</v>
      </c>
      <c r="G87" s="256">
        <v>4</v>
      </c>
      <c r="H87" s="257">
        <v>0</v>
      </c>
      <c r="I87" s="258">
        <f>G87+1</f>
        <v>5</v>
      </c>
      <c r="J87" s="257">
        <v>0</v>
      </c>
      <c r="K87" s="259">
        <f>(D87*SUM((E87+F87)+(G87*H87)+(I87*J87)))</f>
        <v>0</v>
      </c>
      <c r="L87" s="260">
        <v>1</v>
      </c>
      <c r="M87" s="266">
        <f>K87*L87</f>
        <v>0</v>
      </c>
    </row>
    <row r="88" spans="1:13" ht="15" thickBot="1" x14ac:dyDescent="0.4">
      <c r="A88" s="254"/>
      <c r="B88" s="254"/>
      <c r="C88" s="255" t="s">
        <v>144</v>
      </c>
      <c r="D88" s="256">
        <v>0</v>
      </c>
      <c r="E88" s="257">
        <v>0</v>
      </c>
      <c r="F88" s="257">
        <v>0</v>
      </c>
      <c r="G88" s="256">
        <v>4</v>
      </c>
      <c r="H88" s="257">
        <v>0</v>
      </c>
      <c r="I88" s="258">
        <f>G88+1</f>
        <v>5</v>
      </c>
      <c r="J88" s="257">
        <v>0</v>
      </c>
      <c r="K88" s="259">
        <f>(D88*SUM((E88+F88)+(G88*H88)+(I88*J88)))</f>
        <v>0</v>
      </c>
      <c r="L88" s="260">
        <v>1</v>
      </c>
      <c r="M88" s="266">
        <f>K88*L88</f>
        <v>0</v>
      </c>
    </row>
    <row r="89" spans="1:13" ht="15" thickBot="1" x14ac:dyDescent="0.4">
      <c r="A89" s="251"/>
      <c r="B89" s="251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61">
        <f>SUM(M84:M88)</f>
        <v>0</v>
      </c>
    </row>
    <row r="92" spans="1:13" x14ac:dyDescent="0.35">
      <c r="A92" s="429" t="s">
        <v>189</v>
      </c>
      <c r="B92" s="430"/>
      <c r="C92" s="430"/>
      <c r="D92" s="430"/>
      <c r="E92" s="430"/>
      <c r="F92" s="430"/>
      <c r="G92" s="430"/>
      <c r="H92" s="430"/>
      <c r="I92" s="430"/>
      <c r="J92" s="430"/>
      <c r="K92" s="430"/>
      <c r="L92" s="430"/>
      <c r="M92" s="431"/>
    </row>
    <row r="93" spans="1:13" ht="29" x14ac:dyDescent="0.35">
      <c r="A93" s="267" t="s">
        <v>182</v>
      </c>
      <c r="B93" s="267" t="s">
        <v>181</v>
      </c>
      <c r="C93" s="267" t="s">
        <v>171</v>
      </c>
      <c r="D93" s="267" t="s">
        <v>177</v>
      </c>
      <c r="E93" s="267" t="s">
        <v>63</v>
      </c>
      <c r="F93" s="267" t="s">
        <v>172</v>
      </c>
      <c r="G93" s="267" t="s">
        <v>173</v>
      </c>
      <c r="H93" s="267" t="s">
        <v>178</v>
      </c>
      <c r="I93" s="267" t="s">
        <v>174</v>
      </c>
      <c r="J93" s="267" t="s">
        <v>179</v>
      </c>
      <c r="K93" s="267" t="s">
        <v>175</v>
      </c>
      <c r="L93" s="268" t="s">
        <v>176</v>
      </c>
      <c r="M93" s="267" t="s">
        <v>180</v>
      </c>
    </row>
    <row r="94" spans="1:13" x14ac:dyDescent="0.35">
      <c r="A94" s="254"/>
      <c r="B94" s="254"/>
      <c r="C94" s="255" t="s">
        <v>144</v>
      </c>
      <c r="D94" s="256">
        <v>0</v>
      </c>
      <c r="E94" s="257">
        <v>0</v>
      </c>
      <c r="F94" s="257">
        <v>0</v>
      </c>
      <c r="G94" s="256">
        <v>4</v>
      </c>
      <c r="H94" s="257">
        <v>0</v>
      </c>
      <c r="I94" s="258">
        <f>G94+1</f>
        <v>5</v>
      </c>
      <c r="J94" s="257">
        <v>0</v>
      </c>
      <c r="K94" s="259">
        <f>(D94*SUM((E94+F94)+(G94*H94)+(I94*J94)))</f>
        <v>0</v>
      </c>
      <c r="L94" s="260">
        <v>1</v>
      </c>
      <c r="M94" s="266">
        <f>K94*L94</f>
        <v>0</v>
      </c>
    </row>
    <row r="95" spans="1:13" x14ac:dyDescent="0.35">
      <c r="A95" s="254"/>
      <c r="B95" s="254"/>
      <c r="C95" s="255" t="s">
        <v>144</v>
      </c>
      <c r="D95" s="256">
        <v>0</v>
      </c>
      <c r="E95" s="257">
        <v>0</v>
      </c>
      <c r="F95" s="257">
        <v>0</v>
      </c>
      <c r="G95" s="256">
        <v>4</v>
      </c>
      <c r="H95" s="257">
        <v>0</v>
      </c>
      <c r="I95" s="258">
        <f>G95+1</f>
        <v>5</v>
      </c>
      <c r="J95" s="257">
        <v>0</v>
      </c>
      <c r="K95" s="259">
        <f>(D95*SUM((E95+F95)+(G95*H95)+(I95*J95)))</f>
        <v>0</v>
      </c>
      <c r="L95" s="260">
        <v>1</v>
      </c>
      <c r="M95" s="266">
        <f>K95*L95</f>
        <v>0</v>
      </c>
    </row>
    <row r="96" spans="1:13" x14ac:dyDescent="0.35">
      <c r="A96" s="254"/>
      <c r="B96" s="254"/>
      <c r="C96" s="255" t="s">
        <v>144</v>
      </c>
      <c r="D96" s="256">
        <v>0</v>
      </c>
      <c r="E96" s="257">
        <v>0</v>
      </c>
      <c r="F96" s="257">
        <v>0</v>
      </c>
      <c r="G96" s="256">
        <v>4</v>
      </c>
      <c r="H96" s="257">
        <v>0</v>
      </c>
      <c r="I96" s="258">
        <f>G96+1</f>
        <v>5</v>
      </c>
      <c r="J96" s="257">
        <v>0</v>
      </c>
      <c r="K96" s="259">
        <f>(D96*SUM((E96+F96)+(G96*H96)+(I96*J96)))</f>
        <v>0</v>
      </c>
      <c r="L96" s="260">
        <v>1</v>
      </c>
      <c r="M96" s="266">
        <f>K96*L96</f>
        <v>0</v>
      </c>
    </row>
    <row r="97" spans="1:13" x14ac:dyDescent="0.35">
      <c r="A97" s="254"/>
      <c r="B97" s="254"/>
      <c r="C97" s="255" t="s">
        <v>144</v>
      </c>
      <c r="D97" s="256">
        <v>0</v>
      </c>
      <c r="E97" s="257">
        <v>0</v>
      </c>
      <c r="F97" s="257">
        <v>0</v>
      </c>
      <c r="G97" s="256">
        <v>4</v>
      </c>
      <c r="H97" s="257">
        <v>0</v>
      </c>
      <c r="I97" s="258">
        <f>G97+1</f>
        <v>5</v>
      </c>
      <c r="J97" s="257">
        <v>0</v>
      </c>
      <c r="K97" s="259">
        <f>(D97*SUM((E97+F97)+(G97*H97)+(I97*J97)))</f>
        <v>0</v>
      </c>
      <c r="L97" s="260">
        <v>1</v>
      </c>
      <c r="M97" s="266">
        <f>K97*L97</f>
        <v>0</v>
      </c>
    </row>
    <row r="98" spans="1:13" ht="15" thickBot="1" x14ac:dyDescent="0.4">
      <c r="A98" s="254"/>
      <c r="B98" s="254"/>
      <c r="C98" s="255" t="s">
        <v>144</v>
      </c>
      <c r="D98" s="256">
        <v>0</v>
      </c>
      <c r="E98" s="257">
        <v>0</v>
      </c>
      <c r="F98" s="257">
        <v>0</v>
      </c>
      <c r="G98" s="256">
        <v>4</v>
      </c>
      <c r="H98" s="257">
        <v>0</v>
      </c>
      <c r="I98" s="258">
        <f>G98+1</f>
        <v>5</v>
      </c>
      <c r="J98" s="257">
        <v>0</v>
      </c>
      <c r="K98" s="259">
        <f>(D98*SUM((E98+F98)+(G98*H98)+(I98*J98)))</f>
        <v>0</v>
      </c>
      <c r="L98" s="260">
        <v>1</v>
      </c>
      <c r="M98" s="266">
        <f>K98*L98</f>
        <v>0</v>
      </c>
    </row>
    <row r="99" spans="1:13" ht="15" thickBot="1" x14ac:dyDescent="0.4">
      <c r="A99" s="251"/>
      <c r="B99" s="251"/>
      <c r="C99" s="252"/>
      <c r="D99" s="253"/>
      <c r="E99" s="253"/>
      <c r="F99" s="253"/>
      <c r="G99" s="253"/>
      <c r="H99" s="253"/>
      <c r="I99" s="253"/>
      <c r="J99" s="253"/>
      <c r="K99" s="253"/>
      <c r="L99" s="253"/>
      <c r="M99" s="261">
        <f>SUM(M94:M98)</f>
        <v>0</v>
      </c>
    </row>
  </sheetData>
  <mergeCells count="10">
    <mergeCell ref="A41:M41"/>
    <mergeCell ref="A1:M1"/>
    <mergeCell ref="A11:M11"/>
    <mergeCell ref="A21:M21"/>
    <mergeCell ref="A31:M31"/>
    <mergeCell ref="A51:M51"/>
    <mergeCell ref="A62:M62"/>
    <mergeCell ref="A72:M72"/>
    <mergeCell ref="A82:M82"/>
    <mergeCell ref="A92:M92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Z130"/>
  <sheetViews>
    <sheetView topLeftCell="I102" zoomScale="130" zoomScaleNormal="130" workbookViewId="0">
      <selection activeCell="O126" sqref="O126"/>
    </sheetView>
  </sheetViews>
  <sheetFormatPr defaultColWidth="9.1796875" defaultRowHeight="10" x14ac:dyDescent="0.2"/>
  <cols>
    <col min="1" max="1" width="33.26953125" style="341" customWidth="1"/>
    <col min="2" max="11" width="9" style="341" customWidth="1"/>
    <col min="12" max="12" width="9.81640625" style="343" bestFit="1" customWidth="1"/>
    <col min="13" max="13" width="40.1796875" style="343" customWidth="1"/>
    <col min="14" max="14" width="29.1796875" style="343" customWidth="1"/>
    <col min="15" max="16" width="9.81640625" style="343" customWidth="1"/>
    <col min="17" max="18" width="9.7265625" style="341" customWidth="1"/>
    <col min="19" max="16384" width="9.1796875" style="341"/>
  </cols>
  <sheetData>
    <row r="1" spans="1:13" ht="13" x14ac:dyDescent="0.3">
      <c r="A1" s="67">
        <f>+'rates, dates, etc'!B4</f>
        <v>0</v>
      </c>
      <c r="D1" s="342"/>
    </row>
    <row r="2" spans="1:13" ht="13" x14ac:dyDescent="0.3">
      <c r="A2" s="67" t="str">
        <f>+'rates, dates, etc'!B3</f>
        <v>NSF</v>
      </c>
      <c r="M2" s="342"/>
    </row>
    <row r="3" spans="1:13" ht="12.75" customHeight="1" thickBot="1" x14ac:dyDescent="0.25"/>
    <row r="4" spans="1:13" ht="10.5" x14ac:dyDescent="0.25">
      <c r="A4" s="68" t="s">
        <v>0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  <c r="M4" s="387"/>
    </row>
    <row r="5" spans="1:13" ht="11" thickBot="1" x14ac:dyDescent="0.3">
      <c r="A5" s="68" t="str">
        <f>CONCATENATE("PI: ",'rates, dates, etc'!B22)</f>
        <v>PI: 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  <c r="M5" s="388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F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ref="G6:K6" si="6">DATE(YEAR(G5), MONTH(G5) + 12, DAY(G5))-1</f>
        <v>47299</v>
      </c>
      <c r="H6" s="245">
        <f t="shared" si="6"/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  <c r="M6" s="389" t="s">
        <v>168</v>
      </c>
    </row>
    <row r="7" spans="1:13" ht="10.5" x14ac:dyDescent="0.25">
      <c r="A7" s="74" t="s">
        <v>116</v>
      </c>
      <c r="B7" s="1"/>
      <c r="C7" s="1"/>
      <c r="D7" s="1"/>
      <c r="E7" s="1"/>
      <c r="F7" s="1"/>
      <c r="G7" s="1"/>
      <c r="H7" s="1"/>
      <c r="I7" s="1"/>
      <c r="J7" s="1"/>
      <c r="K7" s="1"/>
      <c r="L7" s="8" t="s">
        <v>6</v>
      </c>
      <c r="M7" s="384"/>
    </row>
    <row r="8" spans="1:13" x14ac:dyDescent="0.2">
      <c r="A8" s="3" t="str">
        <f>+'Lead Budget'!A8</f>
        <v>PI</v>
      </c>
      <c r="B8" s="359">
        <f>+'Lead Budget'!B8</f>
        <v>0</v>
      </c>
      <c r="C8" s="359">
        <f>+'Lead Budget'!C8</f>
        <v>0</v>
      </c>
      <c r="D8" s="359">
        <f>+'Lead Budget'!D8</f>
        <v>0</v>
      </c>
      <c r="E8" s="359">
        <f>+'Lead Budget'!E8</f>
        <v>0</v>
      </c>
      <c r="F8" s="359">
        <f>+'Lead Budget'!F8</f>
        <v>0</v>
      </c>
      <c r="G8" s="359">
        <f>+'Lead Budget'!G8</f>
        <v>0</v>
      </c>
      <c r="H8" s="359">
        <f>+'Lead Budget'!H8</f>
        <v>0</v>
      </c>
      <c r="I8" s="359">
        <f>+'Lead Budget'!I8</f>
        <v>0</v>
      </c>
      <c r="J8" s="359">
        <f>+'Lead Budget'!J8</f>
        <v>0</v>
      </c>
      <c r="K8" s="359">
        <f>+'Lead Budget'!K8</f>
        <v>0</v>
      </c>
      <c r="L8" s="360">
        <f>SUM(B8:K8)</f>
        <v>0</v>
      </c>
      <c r="M8" s="384"/>
    </row>
    <row r="9" spans="1:13" x14ac:dyDescent="0.2">
      <c r="A9" s="3" t="str">
        <f>+'Lead Budget'!A9</f>
        <v>Co-PI</v>
      </c>
      <c r="B9" s="359">
        <f>+'Lead Budget'!B9</f>
        <v>0</v>
      </c>
      <c r="C9" s="359">
        <f>+'Lead Budget'!C9</f>
        <v>0</v>
      </c>
      <c r="D9" s="359">
        <f>+'Lead Budget'!D9</f>
        <v>0</v>
      </c>
      <c r="E9" s="359">
        <f>+'Lead Budget'!E9</f>
        <v>0</v>
      </c>
      <c r="F9" s="359">
        <f>+'Lead Budget'!F9</f>
        <v>0</v>
      </c>
      <c r="G9" s="359">
        <f>+'Lead Budget'!G9</f>
        <v>0</v>
      </c>
      <c r="H9" s="359">
        <f>+'Lead Budget'!H9</f>
        <v>0</v>
      </c>
      <c r="I9" s="359">
        <f>+'Lead Budget'!I9</f>
        <v>0</v>
      </c>
      <c r="J9" s="359">
        <f>+'Lead Budget'!J9</f>
        <v>0</v>
      </c>
      <c r="K9" s="359">
        <f>+'Lead Budget'!K9</f>
        <v>0</v>
      </c>
      <c r="L9" s="360">
        <f t="shared" ref="L9:L25" si="7">SUM(B9:K9)</f>
        <v>0</v>
      </c>
      <c r="M9" s="384"/>
    </row>
    <row r="10" spans="1:13" x14ac:dyDescent="0.2">
      <c r="A10" s="3" t="str">
        <f>+'Lead Budget'!A10</f>
        <v>Co-PI</v>
      </c>
      <c r="B10" s="359">
        <f>+'Lead Budget'!B10</f>
        <v>0</v>
      </c>
      <c r="C10" s="359">
        <f>+'Lead Budget'!C10</f>
        <v>0</v>
      </c>
      <c r="D10" s="359">
        <f>+'Lead Budget'!D10</f>
        <v>0</v>
      </c>
      <c r="E10" s="359">
        <f>+'Lead Budget'!E10</f>
        <v>0</v>
      </c>
      <c r="F10" s="359">
        <f>+'Lead Budget'!F10</f>
        <v>0</v>
      </c>
      <c r="G10" s="359">
        <f>+'Lead Budget'!G10</f>
        <v>0</v>
      </c>
      <c r="H10" s="359">
        <f>+'Lead Budget'!H10</f>
        <v>0</v>
      </c>
      <c r="I10" s="359">
        <f>+'Lead Budget'!I10</f>
        <v>0</v>
      </c>
      <c r="J10" s="359">
        <f>+'Lead Budget'!J10</f>
        <v>0</v>
      </c>
      <c r="K10" s="359">
        <f>+'Lead Budget'!K10</f>
        <v>0</v>
      </c>
      <c r="L10" s="360">
        <f t="shared" si="7"/>
        <v>0</v>
      </c>
      <c r="M10" s="384"/>
    </row>
    <row r="11" spans="1:13" x14ac:dyDescent="0.2">
      <c r="A11" s="3" t="str">
        <f>+'Co-PI Budget (1)'!A8</f>
        <v>Co-PI</v>
      </c>
      <c r="B11" s="359">
        <f>+'Co-PI Budget (1)'!B8</f>
        <v>0</v>
      </c>
      <c r="C11" s="359">
        <f>+'Co-PI Budget (1)'!C8</f>
        <v>0</v>
      </c>
      <c r="D11" s="359">
        <f>+'Co-PI Budget (1)'!D8</f>
        <v>0</v>
      </c>
      <c r="E11" s="359">
        <f>+'Co-PI Budget (1)'!E8</f>
        <v>0</v>
      </c>
      <c r="F11" s="359">
        <f>+'Co-PI Budget (1)'!F8</f>
        <v>0</v>
      </c>
      <c r="G11" s="359">
        <f>+'Co-PI Budget (1)'!G8</f>
        <v>0</v>
      </c>
      <c r="H11" s="359">
        <f>+'Co-PI Budget (1)'!H8</f>
        <v>0</v>
      </c>
      <c r="I11" s="359">
        <f>+'Co-PI Budget (1)'!I8</f>
        <v>0</v>
      </c>
      <c r="J11" s="359">
        <f>+'Co-PI Budget (1)'!J8</f>
        <v>0</v>
      </c>
      <c r="K11" s="359">
        <f>+'Co-PI Budget (1)'!K8</f>
        <v>0</v>
      </c>
      <c r="L11" s="360">
        <f t="shared" si="7"/>
        <v>0</v>
      </c>
      <c r="M11" s="384"/>
    </row>
    <row r="12" spans="1:13" x14ac:dyDescent="0.2">
      <c r="A12" s="3" t="str">
        <f>+'Co-PI Budget (1)'!A9</f>
        <v>Co-PI</v>
      </c>
      <c r="B12" s="359">
        <f>+'Co-PI Budget (1)'!B9</f>
        <v>0</v>
      </c>
      <c r="C12" s="359">
        <f>+'Co-PI Budget (1)'!C9</f>
        <v>0</v>
      </c>
      <c r="D12" s="359">
        <f>+'Co-PI Budget (1)'!D9</f>
        <v>0</v>
      </c>
      <c r="E12" s="359">
        <f>+'Co-PI Budget (1)'!E9</f>
        <v>0</v>
      </c>
      <c r="F12" s="359">
        <f>+'Co-PI Budget (1)'!F9</f>
        <v>0</v>
      </c>
      <c r="G12" s="359">
        <f>+'Co-PI Budget (1)'!G9</f>
        <v>0</v>
      </c>
      <c r="H12" s="359">
        <f>+'Co-PI Budget (1)'!H9</f>
        <v>0</v>
      </c>
      <c r="I12" s="359">
        <f>+'Co-PI Budget (1)'!I9</f>
        <v>0</v>
      </c>
      <c r="J12" s="359">
        <f>+'Co-PI Budget (1)'!J9</f>
        <v>0</v>
      </c>
      <c r="K12" s="359">
        <f>+'Co-PI Budget (1)'!K9</f>
        <v>0</v>
      </c>
      <c r="L12" s="360">
        <f t="shared" si="7"/>
        <v>0</v>
      </c>
      <c r="M12" s="384"/>
    </row>
    <row r="13" spans="1:13" x14ac:dyDescent="0.2">
      <c r="A13" s="3" t="str">
        <f>+'Co-PI Budget (1)'!A10</f>
        <v>Co-PI</v>
      </c>
      <c r="B13" s="359">
        <f>+'Co-PI Budget (1)'!B10</f>
        <v>0</v>
      </c>
      <c r="C13" s="359">
        <f>+'Co-PI Budget (1)'!C10</f>
        <v>0</v>
      </c>
      <c r="D13" s="359">
        <f>+'Co-PI Budget (1)'!D10</f>
        <v>0</v>
      </c>
      <c r="E13" s="359">
        <f>+'Co-PI Budget (1)'!E10</f>
        <v>0</v>
      </c>
      <c r="F13" s="359">
        <f>+'Co-PI Budget (1)'!F10</f>
        <v>0</v>
      </c>
      <c r="G13" s="359">
        <f>+'Co-PI Budget (1)'!G10</f>
        <v>0</v>
      </c>
      <c r="H13" s="359">
        <f>+'Co-PI Budget (1)'!H10</f>
        <v>0</v>
      </c>
      <c r="I13" s="359">
        <f>+'Co-PI Budget (1)'!I10</f>
        <v>0</v>
      </c>
      <c r="J13" s="359">
        <f>+'Co-PI Budget (1)'!J10</f>
        <v>0</v>
      </c>
      <c r="K13" s="359">
        <f>+'Co-PI Budget (1)'!K10</f>
        <v>0</v>
      </c>
      <c r="L13" s="360">
        <f t="shared" si="7"/>
        <v>0</v>
      </c>
      <c r="M13" s="384"/>
    </row>
    <row r="14" spans="1:13" x14ac:dyDescent="0.2">
      <c r="A14" s="3" t="str">
        <f>+'Co-PI Budget (2)'!A8</f>
        <v>Co-PI</v>
      </c>
      <c r="B14" s="359">
        <f>+'Co-PI Budget (2)'!B8</f>
        <v>0</v>
      </c>
      <c r="C14" s="359">
        <f>+'Co-PI Budget (2)'!C8</f>
        <v>0</v>
      </c>
      <c r="D14" s="359">
        <f>+'Co-PI Budget (2)'!D8</f>
        <v>0</v>
      </c>
      <c r="E14" s="359">
        <f>+'Co-PI Budget (2)'!E8</f>
        <v>0</v>
      </c>
      <c r="F14" s="359">
        <f>+'Co-PI Budget (2)'!F8</f>
        <v>0</v>
      </c>
      <c r="G14" s="359">
        <f>+'Co-PI Budget (2)'!G8</f>
        <v>0</v>
      </c>
      <c r="H14" s="359">
        <f>+'Co-PI Budget (2)'!H8</f>
        <v>0</v>
      </c>
      <c r="I14" s="359">
        <f>+'Co-PI Budget (2)'!I8</f>
        <v>0</v>
      </c>
      <c r="J14" s="359">
        <f>+'Co-PI Budget (2)'!J8</f>
        <v>0</v>
      </c>
      <c r="K14" s="359">
        <f>+'Co-PI Budget (2)'!K8</f>
        <v>0</v>
      </c>
      <c r="L14" s="360">
        <f t="shared" si="7"/>
        <v>0</v>
      </c>
      <c r="M14" s="384"/>
    </row>
    <row r="15" spans="1:13" x14ac:dyDescent="0.2">
      <c r="A15" s="3" t="str">
        <f>+'Co-PI Budget (2)'!A9</f>
        <v>Co-PI</v>
      </c>
      <c r="B15" s="359">
        <f>+'Co-PI Budget (2)'!B9</f>
        <v>0</v>
      </c>
      <c r="C15" s="359">
        <f>+'Co-PI Budget (2)'!C9</f>
        <v>0</v>
      </c>
      <c r="D15" s="359">
        <f>+'Co-PI Budget (2)'!D9</f>
        <v>0</v>
      </c>
      <c r="E15" s="359">
        <f>+'Co-PI Budget (2)'!E9</f>
        <v>0</v>
      </c>
      <c r="F15" s="359">
        <f>+'Co-PI Budget (2)'!F9</f>
        <v>0</v>
      </c>
      <c r="G15" s="359">
        <f>+'Co-PI Budget (2)'!G9</f>
        <v>0</v>
      </c>
      <c r="H15" s="359">
        <f>+'Co-PI Budget (2)'!H9</f>
        <v>0</v>
      </c>
      <c r="I15" s="359">
        <f>+'Co-PI Budget (2)'!I9</f>
        <v>0</v>
      </c>
      <c r="J15" s="359">
        <f>+'Co-PI Budget (2)'!J9</f>
        <v>0</v>
      </c>
      <c r="K15" s="359">
        <f>+'Co-PI Budget (2)'!K9</f>
        <v>0</v>
      </c>
      <c r="L15" s="360">
        <f t="shared" si="7"/>
        <v>0</v>
      </c>
      <c r="M15" s="384"/>
    </row>
    <row r="16" spans="1:13" x14ac:dyDescent="0.2">
      <c r="A16" s="3" t="str">
        <f>+'Co-PI Budget (2)'!A10</f>
        <v>Co-PI</v>
      </c>
      <c r="B16" s="359">
        <f>+'Co-PI Budget (2)'!B10</f>
        <v>0</v>
      </c>
      <c r="C16" s="359">
        <f>+'Co-PI Budget (2)'!C10</f>
        <v>0</v>
      </c>
      <c r="D16" s="359">
        <f>+'Co-PI Budget (2)'!D10</f>
        <v>0</v>
      </c>
      <c r="E16" s="359">
        <f>+'Co-PI Budget (2)'!E10</f>
        <v>0</v>
      </c>
      <c r="F16" s="359">
        <f>+'Co-PI Budget (2)'!F10</f>
        <v>0</v>
      </c>
      <c r="G16" s="359">
        <f>+'Co-PI Budget (2)'!G10</f>
        <v>0</v>
      </c>
      <c r="H16" s="359">
        <f>+'Co-PI Budget (2)'!H10</f>
        <v>0</v>
      </c>
      <c r="I16" s="359">
        <f>+'Co-PI Budget (2)'!I10</f>
        <v>0</v>
      </c>
      <c r="J16" s="359">
        <f>+'Co-PI Budget (2)'!J10</f>
        <v>0</v>
      </c>
      <c r="K16" s="359">
        <f>+'Co-PI Budget (2)'!K10</f>
        <v>0</v>
      </c>
      <c r="L16" s="360">
        <f t="shared" si="7"/>
        <v>0</v>
      </c>
      <c r="M16" s="384"/>
    </row>
    <row r="17" spans="1:13" x14ac:dyDescent="0.2">
      <c r="A17" s="3" t="str">
        <f>+'Co-PI Budget (3)'!A8</f>
        <v>Co-PI</v>
      </c>
      <c r="B17" s="359">
        <f>+'Co-PI Budget (3)'!B8</f>
        <v>0</v>
      </c>
      <c r="C17" s="359">
        <f>+'Co-PI Budget (3)'!C8</f>
        <v>0</v>
      </c>
      <c r="D17" s="359">
        <f>+'Co-PI Budget (3)'!D8</f>
        <v>0</v>
      </c>
      <c r="E17" s="359">
        <f>+'Co-PI Budget (3)'!E8</f>
        <v>0</v>
      </c>
      <c r="F17" s="359">
        <f>+'Co-PI Budget (3)'!F8</f>
        <v>0</v>
      </c>
      <c r="G17" s="359">
        <f>+'Co-PI Budget (3)'!G8</f>
        <v>0</v>
      </c>
      <c r="H17" s="359">
        <f>+'Co-PI Budget (3)'!H8</f>
        <v>0</v>
      </c>
      <c r="I17" s="359">
        <f>+'Co-PI Budget (3)'!I8</f>
        <v>0</v>
      </c>
      <c r="J17" s="359">
        <f>+'Co-PI Budget (3)'!J8</f>
        <v>0</v>
      </c>
      <c r="K17" s="359">
        <f>+'Co-PI Budget (3)'!K8</f>
        <v>0</v>
      </c>
      <c r="L17" s="360">
        <f t="shared" si="7"/>
        <v>0</v>
      </c>
      <c r="M17" s="384"/>
    </row>
    <row r="18" spans="1:13" x14ac:dyDescent="0.2">
      <c r="A18" s="3" t="str">
        <f>+'Co-PI Budget (3)'!A9</f>
        <v>Co-PI</v>
      </c>
      <c r="B18" s="359">
        <f>+'Co-PI Budget (3)'!B9</f>
        <v>0</v>
      </c>
      <c r="C18" s="359">
        <f>+'Co-PI Budget (3)'!C9</f>
        <v>0</v>
      </c>
      <c r="D18" s="359">
        <f>+'Co-PI Budget (3)'!D9</f>
        <v>0</v>
      </c>
      <c r="E18" s="359">
        <f>+'Co-PI Budget (3)'!E9</f>
        <v>0</v>
      </c>
      <c r="F18" s="359">
        <f>+'Co-PI Budget (3)'!F9</f>
        <v>0</v>
      </c>
      <c r="G18" s="359">
        <f>+'Co-PI Budget (3)'!G9</f>
        <v>0</v>
      </c>
      <c r="H18" s="359">
        <f>+'Co-PI Budget (3)'!H9</f>
        <v>0</v>
      </c>
      <c r="I18" s="359">
        <f>+'Co-PI Budget (3)'!I9</f>
        <v>0</v>
      </c>
      <c r="J18" s="359">
        <f>+'Co-PI Budget (3)'!J9</f>
        <v>0</v>
      </c>
      <c r="K18" s="359">
        <f>+'Co-PI Budget (3)'!K9</f>
        <v>0</v>
      </c>
      <c r="L18" s="360">
        <f t="shared" si="7"/>
        <v>0</v>
      </c>
      <c r="M18" s="384"/>
    </row>
    <row r="19" spans="1:13" x14ac:dyDescent="0.2">
      <c r="A19" s="3" t="str">
        <f>+'Co-PI Budget (3)'!A10</f>
        <v>Co-PI</v>
      </c>
      <c r="B19" s="359">
        <f>+'Co-PI Budget (3)'!B10</f>
        <v>0</v>
      </c>
      <c r="C19" s="359">
        <f>+'Co-PI Budget (3)'!C10</f>
        <v>0</v>
      </c>
      <c r="D19" s="359">
        <f>+'Co-PI Budget (3)'!D10</f>
        <v>0</v>
      </c>
      <c r="E19" s="359">
        <f>+'Co-PI Budget (3)'!E10</f>
        <v>0</v>
      </c>
      <c r="F19" s="359">
        <f>+'Co-PI Budget (3)'!F10</f>
        <v>0</v>
      </c>
      <c r="G19" s="359">
        <f>+'Co-PI Budget (3)'!G10</f>
        <v>0</v>
      </c>
      <c r="H19" s="359">
        <f>+'Co-PI Budget (3)'!H10</f>
        <v>0</v>
      </c>
      <c r="I19" s="359">
        <f>+'Co-PI Budget (3)'!I10</f>
        <v>0</v>
      </c>
      <c r="J19" s="359">
        <f>+'Co-PI Budget (3)'!J10</f>
        <v>0</v>
      </c>
      <c r="K19" s="359">
        <f>+'Co-PI Budget (3)'!K10</f>
        <v>0</v>
      </c>
      <c r="L19" s="360">
        <f t="shared" si="7"/>
        <v>0</v>
      </c>
      <c r="M19" s="384"/>
    </row>
    <row r="20" spans="1:13" x14ac:dyDescent="0.2">
      <c r="A20" s="3" t="str">
        <f>+'Co-PI Budget (4)'!A8</f>
        <v>Co-PI</v>
      </c>
      <c r="B20" s="359">
        <f>+'Co-PI Budget (4)'!B8</f>
        <v>0</v>
      </c>
      <c r="C20" s="359">
        <f>+'Co-PI Budget (4)'!C8</f>
        <v>0</v>
      </c>
      <c r="D20" s="359">
        <f>+'Co-PI Budget (4)'!D8</f>
        <v>0</v>
      </c>
      <c r="E20" s="359">
        <f>+'Co-PI Budget (4)'!E8</f>
        <v>0</v>
      </c>
      <c r="F20" s="359">
        <f>+'Co-PI Budget (4)'!F8</f>
        <v>0</v>
      </c>
      <c r="G20" s="359">
        <f>+'Co-PI Budget (4)'!G8</f>
        <v>0</v>
      </c>
      <c r="H20" s="359">
        <f>+'Co-PI Budget (4)'!H8</f>
        <v>0</v>
      </c>
      <c r="I20" s="359">
        <f>+'Co-PI Budget (4)'!I8</f>
        <v>0</v>
      </c>
      <c r="J20" s="359">
        <f>+'Co-PI Budget (4)'!J8</f>
        <v>0</v>
      </c>
      <c r="K20" s="359">
        <f>+'Co-PI Budget (4)'!K8</f>
        <v>0</v>
      </c>
      <c r="L20" s="360">
        <f t="shared" si="7"/>
        <v>0</v>
      </c>
      <c r="M20" s="384"/>
    </row>
    <row r="21" spans="1:13" x14ac:dyDescent="0.2">
      <c r="A21" s="3" t="str">
        <f>+'Co-PI Budget (4)'!A9</f>
        <v>Co-PI</v>
      </c>
      <c r="B21" s="359">
        <f>+'Co-PI Budget (4)'!B9</f>
        <v>0</v>
      </c>
      <c r="C21" s="359">
        <f>+'Co-PI Budget (4)'!C9</f>
        <v>0</v>
      </c>
      <c r="D21" s="359">
        <f>+'Co-PI Budget (4)'!D9</f>
        <v>0</v>
      </c>
      <c r="E21" s="359">
        <f>+'Co-PI Budget (4)'!E9</f>
        <v>0</v>
      </c>
      <c r="F21" s="359">
        <f>+'Co-PI Budget (4)'!F9</f>
        <v>0</v>
      </c>
      <c r="G21" s="359">
        <f>+'Co-PI Budget (4)'!G9</f>
        <v>0</v>
      </c>
      <c r="H21" s="359">
        <f>+'Co-PI Budget (4)'!H9</f>
        <v>0</v>
      </c>
      <c r="I21" s="359">
        <f>+'Co-PI Budget (4)'!I9</f>
        <v>0</v>
      </c>
      <c r="J21" s="359">
        <f>+'Co-PI Budget (4)'!J9</f>
        <v>0</v>
      </c>
      <c r="K21" s="359">
        <f>+'Co-PI Budget (4)'!K9</f>
        <v>0</v>
      </c>
      <c r="L21" s="360">
        <f t="shared" si="7"/>
        <v>0</v>
      </c>
      <c r="M21" s="384"/>
    </row>
    <row r="22" spans="1:13" x14ac:dyDescent="0.2">
      <c r="A22" s="3" t="str">
        <f>+'Co-PI Budget (4)'!A10</f>
        <v>Co-PI</v>
      </c>
      <c r="B22" s="359">
        <f>+'Co-PI Budget (4)'!B10</f>
        <v>0</v>
      </c>
      <c r="C22" s="359">
        <f>+'Co-PI Budget (4)'!C10</f>
        <v>0</v>
      </c>
      <c r="D22" s="359">
        <f>+'Co-PI Budget (4)'!D10</f>
        <v>0</v>
      </c>
      <c r="E22" s="359">
        <f>+'Co-PI Budget (4)'!E10</f>
        <v>0</v>
      </c>
      <c r="F22" s="359">
        <f>+'Co-PI Budget (4)'!F10</f>
        <v>0</v>
      </c>
      <c r="G22" s="359">
        <f>+'Co-PI Budget (4)'!G10</f>
        <v>0</v>
      </c>
      <c r="H22" s="359">
        <f>+'Co-PI Budget (4)'!H10</f>
        <v>0</v>
      </c>
      <c r="I22" s="359">
        <f>+'Co-PI Budget (4)'!I10</f>
        <v>0</v>
      </c>
      <c r="J22" s="359">
        <f>+'Co-PI Budget (4)'!J10</f>
        <v>0</v>
      </c>
      <c r="K22" s="359">
        <f>+'Co-PI Budget (4)'!K10</f>
        <v>0</v>
      </c>
      <c r="L22" s="360">
        <f t="shared" si="7"/>
        <v>0</v>
      </c>
      <c r="M22" s="384"/>
    </row>
    <row r="23" spans="1:13" x14ac:dyDescent="0.2">
      <c r="A23" s="3" t="str">
        <f>+'Co-PI Budget (5)'!A8</f>
        <v>Co-PI</v>
      </c>
      <c r="B23" s="359">
        <f>+'Co-PI Budget (5)'!B8</f>
        <v>0</v>
      </c>
      <c r="C23" s="359">
        <f>+'Co-PI Budget (5)'!C8</f>
        <v>0</v>
      </c>
      <c r="D23" s="359">
        <f>+'Co-PI Budget (5)'!D8</f>
        <v>0</v>
      </c>
      <c r="E23" s="359">
        <f>+'Co-PI Budget (5)'!E8</f>
        <v>0</v>
      </c>
      <c r="F23" s="359">
        <f>+'Co-PI Budget (5)'!F8</f>
        <v>0</v>
      </c>
      <c r="G23" s="359">
        <f>+'Co-PI Budget (5)'!G8</f>
        <v>0</v>
      </c>
      <c r="H23" s="359">
        <f>+'Co-PI Budget (5)'!H8</f>
        <v>0</v>
      </c>
      <c r="I23" s="359">
        <f>+'Co-PI Budget (5)'!I8</f>
        <v>0</v>
      </c>
      <c r="J23" s="359">
        <f>+'Co-PI Budget (5)'!J8</f>
        <v>0</v>
      </c>
      <c r="K23" s="359">
        <f>+'Co-PI Budget (5)'!K8</f>
        <v>0</v>
      </c>
      <c r="L23" s="360">
        <f t="shared" si="7"/>
        <v>0</v>
      </c>
      <c r="M23" s="384"/>
    </row>
    <row r="24" spans="1:13" x14ac:dyDescent="0.2">
      <c r="A24" s="3" t="str">
        <f>+'Co-PI Budget (5)'!A9</f>
        <v>Co-PI</v>
      </c>
      <c r="B24" s="359">
        <f>+'Co-PI Budget (5)'!B9</f>
        <v>0</v>
      </c>
      <c r="C24" s="359">
        <f>+'Co-PI Budget (5)'!C9</f>
        <v>0</v>
      </c>
      <c r="D24" s="359">
        <f>+'Co-PI Budget (5)'!D9</f>
        <v>0</v>
      </c>
      <c r="E24" s="359">
        <f>+'Co-PI Budget (5)'!E9</f>
        <v>0</v>
      </c>
      <c r="F24" s="359">
        <f>+'Co-PI Budget (5)'!F9</f>
        <v>0</v>
      </c>
      <c r="G24" s="359">
        <f>+'Co-PI Budget (5)'!G9</f>
        <v>0</v>
      </c>
      <c r="H24" s="359">
        <f>+'Co-PI Budget (5)'!H9</f>
        <v>0</v>
      </c>
      <c r="I24" s="359">
        <f>+'Co-PI Budget (5)'!I9</f>
        <v>0</v>
      </c>
      <c r="J24" s="359">
        <f>+'Co-PI Budget (5)'!J9</f>
        <v>0</v>
      </c>
      <c r="K24" s="359">
        <f>+'Co-PI Budget (5)'!K9</f>
        <v>0</v>
      </c>
      <c r="L24" s="360">
        <f t="shared" si="7"/>
        <v>0</v>
      </c>
      <c r="M24" s="384"/>
    </row>
    <row r="25" spans="1:13" x14ac:dyDescent="0.2">
      <c r="A25" s="3" t="str">
        <f>+'Co-PI Budget (5)'!A10</f>
        <v>Co-PI</v>
      </c>
      <c r="B25" s="359">
        <f>+'Co-PI Budget (5)'!B10</f>
        <v>0</v>
      </c>
      <c r="C25" s="359">
        <f>+'Co-PI Budget (5)'!C10</f>
        <v>0</v>
      </c>
      <c r="D25" s="359">
        <f>+'Co-PI Budget (5)'!D10</f>
        <v>0</v>
      </c>
      <c r="E25" s="359">
        <f>+'Co-PI Budget (5)'!E10</f>
        <v>0</v>
      </c>
      <c r="F25" s="359">
        <f>+'Co-PI Budget (5)'!F10</f>
        <v>0</v>
      </c>
      <c r="G25" s="359">
        <f>+'Co-PI Budget (5)'!G10</f>
        <v>0</v>
      </c>
      <c r="H25" s="359">
        <f>+'Co-PI Budget (5)'!H10</f>
        <v>0</v>
      </c>
      <c r="I25" s="359">
        <f>+'Co-PI Budget (5)'!I10</f>
        <v>0</v>
      </c>
      <c r="J25" s="359">
        <f>+'Co-PI Budget (5)'!J10</f>
        <v>0</v>
      </c>
      <c r="K25" s="359">
        <f>+'Co-PI Budget (5)'!K10</f>
        <v>0</v>
      </c>
      <c r="L25" s="360">
        <f t="shared" si="7"/>
        <v>0</v>
      </c>
      <c r="M25" s="384"/>
    </row>
    <row r="26" spans="1:13" ht="10.5" thickBot="1" x14ac:dyDescent="0.25">
      <c r="A26" s="76" t="str">
        <f>CONCATENATE("Total ",A7)</f>
        <v>Total Senior Personnel</v>
      </c>
      <c r="B26" s="361">
        <f>SUM(B7:B25)</f>
        <v>0</v>
      </c>
      <c r="C26" s="361">
        <f t="shared" ref="C26:F26" si="8">SUM(C7:C25)</f>
        <v>0</v>
      </c>
      <c r="D26" s="361">
        <f t="shared" si="8"/>
        <v>0</v>
      </c>
      <c r="E26" s="361">
        <f t="shared" si="8"/>
        <v>0</v>
      </c>
      <c r="F26" s="361">
        <f t="shared" si="8"/>
        <v>0</v>
      </c>
      <c r="G26" s="361">
        <f t="shared" ref="G26:K26" si="9">SUM(G7:G25)</f>
        <v>0</v>
      </c>
      <c r="H26" s="361">
        <f t="shared" si="9"/>
        <v>0</v>
      </c>
      <c r="I26" s="361">
        <f t="shared" si="9"/>
        <v>0</v>
      </c>
      <c r="J26" s="361">
        <f t="shared" si="9"/>
        <v>0</v>
      </c>
      <c r="K26" s="361">
        <f t="shared" si="9"/>
        <v>0</v>
      </c>
      <c r="L26" s="362">
        <f>SUM(L7:L25)</f>
        <v>0</v>
      </c>
      <c r="M26" s="384"/>
    </row>
    <row r="27" spans="1:13" ht="10.5" x14ac:dyDescent="0.25">
      <c r="A27" s="75" t="s">
        <v>117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360"/>
      <c r="M27" s="384"/>
    </row>
    <row r="28" spans="1:13" x14ac:dyDescent="0.2">
      <c r="A28" s="3" t="str">
        <f>+'Lead Budget'!A13</f>
        <v>Post Doctoral Scholar(s)</v>
      </c>
      <c r="B28" s="5">
        <f>+'Lead Budget'!B13+'Co-PI Budget (1)'!B13+'Co-PI Budget (2)'!B13+'Co-PI Budget (3)'!B13+'Co-PI Budget (4)'!B13+'Co-PI Budget (5)'!B13</f>
        <v>0</v>
      </c>
      <c r="C28" s="5">
        <f>+'Lead Budget'!C13+'Co-PI Budget (1)'!C13+'Co-PI Budget (2)'!C13+'Co-PI Budget (3)'!C13+'Co-PI Budget (4)'!C13+'Co-PI Budget (5)'!C13</f>
        <v>0</v>
      </c>
      <c r="D28" s="5">
        <f>+'Lead Budget'!D13+'Co-PI Budget (1)'!D13+'Co-PI Budget (2)'!D13+'Co-PI Budget (3)'!D13+'Co-PI Budget (4)'!D13+'Co-PI Budget (5)'!D13</f>
        <v>0</v>
      </c>
      <c r="E28" s="5">
        <f>+'Lead Budget'!E13+'Co-PI Budget (1)'!E13+'Co-PI Budget (2)'!E13+'Co-PI Budget (3)'!E13+'Co-PI Budget (4)'!E13+'Co-PI Budget (5)'!E13</f>
        <v>0</v>
      </c>
      <c r="F28" s="5">
        <f>+'Lead Budget'!F13+'Co-PI Budget (1)'!F13+'Co-PI Budget (2)'!F13+'Co-PI Budget (3)'!F13+'Co-PI Budget (4)'!F13+'Co-PI Budget (5)'!F13</f>
        <v>0</v>
      </c>
      <c r="G28" s="5">
        <f>+'Lead Budget'!G13+'Co-PI Budget (1)'!G13+'Co-PI Budget (2)'!G13+'Co-PI Budget (3)'!G13+'Co-PI Budget (4)'!G13+'Co-PI Budget (5)'!G13</f>
        <v>0</v>
      </c>
      <c r="H28" s="5">
        <f>+'Lead Budget'!H13+'Co-PI Budget (1)'!H13+'Co-PI Budget (2)'!H13+'Co-PI Budget (3)'!H13+'Co-PI Budget (4)'!H13+'Co-PI Budget (5)'!H13</f>
        <v>0</v>
      </c>
      <c r="I28" s="5">
        <f>+'Lead Budget'!I13+'Co-PI Budget (1)'!I13+'Co-PI Budget (2)'!I13+'Co-PI Budget (3)'!I13+'Co-PI Budget (4)'!I13+'Co-PI Budget (5)'!I13</f>
        <v>0</v>
      </c>
      <c r="J28" s="5">
        <f>+'Lead Budget'!J13+'Co-PI Budget (1)'!J13+'Co-PI Budget (2)'!J13+'Co-PI Budget (3)'!J13+'Co-PI Budget (4)'!J13+'Co-PI Budget (5)'!J13</f>
        <v>0</v>
      </c>
      <c r="K28" s="5">
        <f>+'Lead Budget'!K13+'Co-PI Budget (1)'!K13+'Co-PI Budget (2)'!K13+'Co-PI Budget (3)'!K13+'Co-PI Budget (4)'!K13+'Co-PI Budget (5)'!K13</f>
        <v>0</v>
      </c>
      <c r="L28" s="360">
        <f>SUM(B28:K28)</f>
        <v>0</v>
      </c>
      <c r="M28" s="384"/>
    </row>
    <row r="29" spans="1:13" x14ac:dyDescent="0.2">
      <c r="A29" s="3" t="str">
        <f>+'Lead Budget'!A14</f>
        <v>Other Professional(s) (Technicians, etc)</v>
      </c>
      <c r="B29" s="5">
        <f>+'Lead Budget'!B14+'Co-PI Budget (1)'!B14+'Co-PI Budget (2)'!B14+'Co-PI Budget (3)'!B14+'Co-PI Budget (4)'!B14+'Co-PI Budget (5)'!B14</f>
        <v>0</v>
      </c>
      <c r="C29" s="5">
        <f>+'Lead Budget'!C14+'Co-PI Budget (1)'!C14+'Co-PI Budget (2)'!C14+'Co-PI Budget (3)'!C14+'Co-PI Budget (4)'!C14+'Co-PI Budget (5)'!C14</f>
        <v>0</v>
      </c>
      <c r="D29" s="5">
        <f>+'Lead Budget'!D14+'Co-PI Budget (1)'!D14+'Co-PI Budget (2)'!D14+'Co-PI Budget (3)'!D14+'Co-PI Budget (4)'!D14+'Co-PI Budget (5)'!D14</f>
        <v>0</v>
      </c>
      <c r="E29" s="5">
        <f>+'Lead Budget'!E14+'Co-PI Budget (1)'!E14+'Co-PI Budget (2)'!E14+'Co-PI Budget (3)'!E14+'Co-PI Budget (4)'!E14+'Co-PI Budget (5)'!E14</f>
        <v>0</v>
      </c>
      <c r="F29" s="5">
        <f>+'Lead Budget'!F14+'Co-PI Budget (1)'!F14+'Co-PI Budget (2)'!F14+'Co-PI Budget (3)'!F14+'Co-PI Budget (4)'!F14+'Co-PI Budget (5)'!F14</f>
        <v>0</v>
      </c>
      <c r="G29" s="5">
        <f>+'Lead Budget'!G14+'Co-PI Budget (1)'!G14+'Co-PI Budget (2)'!G14+'Co-PI Budget (3)'!G14+'Co-PI Budget (4)'!G14+'Co-PI Budget (5)'!G14</f>
        <v>0</v>
      </c>
      <c r="H29" s="5">
        <f>+'Lead Budget'!H14+'Co-PI Budget (1)'!H14+'Co-PI Budget (2)'!H14+'Co-PI Budget (3)'!H14+'Co-PI Budget (4)'!H14+'Co-PI Budget (5)'!H14</f>
        <v>0</v>
      </c>
      <c r="I29" s="5">
        <f>+'Lead Budget'!I14+'Co-PI Budget (1)'!I14+'Co-PI Budget (2)'!I14+'Co-PI Budget (3)'!I14+'Co-PI Budget (4)'!I14+'Co-PI Budget (5)'!I14</f>
        <v>0</v>
      </c>
      <c r="J29" s="5">
        <f>+'Lead Budget'!J14+'Co-PI Budget (1)'!J14+'Co-PI Budget (2)'!J14+'Co-PI Budget (3)'!J14+'Co-PI Budget (4)'!J14+'Co-PI Budget (5)'!J14</f>
        <v>0</v>
      </c>
      <c r="K29" s="5">
        <f>+'Lead Budget'!K14+'Co-PI Budget (1)'!K14+'Co-PI Budget (2)'!K14+'Co-PI Budget (3)'!K14+'Co-PI Budget (4)'!K14+'Co-PI Budget (5)'!K14</f>
        <v>0</v>
      </c>
      <c r="L29" s="360">
        <f t="shared" ref="L29:L32" si="10">SUM(B29:K29)</f>
        <v>0</v>
      </c>
      <c r="M29" s="384"/>
    </row>
    <row r="30" spans="1:13" x14ac:dyDescent="0.2">
      <c r="A30" s="3" t="str">
        <f>+'Lead Budget'!A15</f>
        <v>Graduate Student(s)</v>
      </c>
      <c r="B30" s="5">
        <f>'Lead Budget'!B15+'Co-PI Budget (1)'!B15+'Co-PI Budget (2)'!B15+'Co-PI Budget (3)'!B15+'Co-PI Budget (4)'!B15+'Co-PI Budget (5)'!B15</f>
        <v>0</v>
      </c>
      <c r="C30" s="5">
        <f>+'Lead Budget'!C15+'Co-PI Budget (1)'!C15+'Co-PI Budget (2)'!C15+'Co-PI Budget (3)'!C15+'Co-PI Budget (4)'!C15+'Co-PI Budget (5)'!C15</f>
        <v>0</v>
      </c>
      <c r="D30" s="5">
        <f>+'Lead Budget'!D15+'Co-PI Budget (1)'!D15+'Co-PI Budget (2)'!D15+'Co-PI Budget (3)'!D15+'Co-PI Budget (4)'!D15+'Co-PI Budget (5)'!D15</f>
        <v>0</v>
      </c>
      <c r="E30" s="5">
        <f>+'Lead Budget'!E15+'Co-PI Budget (1)'!E15+'Co-PI Budget (2)'!E15+'Co-PI Budget (3)'!E15+'Co-PI Budget (4)'!E15+'Co-PI Budget (5)'!E15</f>
        <v>0</v>
      </c>
      <c r="F30" s="5">
        <f>+'Lead Budget'!F15+'Co-PI Budget (1)'!F15+'Co-PI Budget (2)'!F15+'Co-PI Budget (3)'!F15+'Co-PI Budget (4)'!F15+'Co-PI Budget (5)'!F15</f>
        <v>0</v>
      </c>
      <c r="G30" s="5">
        <f>+'Lead Budget'!G15+'Co-PI Budget (1)'!G15+'Co-PI Budget (2)'!G15+'Co-PI Budget (3)'!G15+'Co-PI Budget (4)'!G15+'Co-PI Budget (5)'!G15</f>
        <v>0</v>
      </c>
      <c r="H30" s="5">
        <f>+'Lead Budget'!H15+'Co-PI Budget (1)'!H15+'Co-PI Budget (2)'!H15+'Co-PI Budget (3)'!H15+'Co-PI Budget (4)'!H15+'Co-PI Budget (5)'!H15</f>
        <v>0</v>
      </c>
      <c r="I30" s="5">
        <f>+'Lead Budget'!I15+'Co-PI Budget (1)'!I15+'Co-PI Budget (2)'!I15+'Co-PI Budget (3)'!I15+'Co-PI Budget (4)'!I15+'Co-PI Budget (5)'!I15</f>
        <v>0</v>
      </c>
      <c r="J30" s="5">
        <f>+'Lead Budget'!J15+'Co-PI Budget (1)'!J15+'Co-PI Budget (2)'!J15+'Co-PI Budget (3)'!J15+'Co-PI Budget (4)'!J15+'Co-PI Budget (5)'!J15</f>
        <v>0</v>
      </c>
      <c r="K30" s="5">
        <f>+'Lead Budget'!K15+'Co-PI Budget (1)'!K15+'Co-PI Budget (2)'!K15+'Co-PI Budget (3)'!K15+'Co-PI Budget (4)'!K15+'Co-PI Budget (5)'!K15</f>
        <v>0</v>
      </c>
      <c r="L30" s="360">
        <f t="shared" si="10"/>
        <v>0</v>
      </c>
      <c r="M30" s="384"/>
    </row>
    <row r="31" spans="1:13" x14ac:dyDescent="0.2">
      <c r="A31" s="3" t="str">
        <f>+'Lead Budget'!A16</f>
        <v>Undergraduate Student(s)</v>
      </c>
      <c r="B31" s="5">
        <f>+'Lead Budget'!B16+'Co-PI Budget (1)'!B16+'Co-PI Budget (2)'!B16+'Co-PI Budget (3)'!B16+'Co-PI Budget (4)'!B16+'Co-PI Budget (5)'!B16</f>
        <v>0</v>
      </c>
      <c r="C31" s="5">
        <f>+'Lead Budget'!C16+'Co-PI Budget (1)'!C16+'Co-PI Budget (2)'!C16+'Co-PI Budget (3)'!C16+'Co-PI Budget (4)'!C16+'Co-PI Budget (5)'!C16</f>
        <v>0</v>
      </c>
      <c r="D31" s="5">
        <f>+'Lead Budget'!D16+'Co-PI Budget (1)'!D16+'Co-PI Budget (2)'!D16+'Co-PI Budget (3)'!D16+'Co-PI Budget (4)'!D16+'Co-PI Budget (5)'!D16</f>
        <v>0</v>
      </c>
      <c r="E31" s="5">
        <f>+'Lead Budget'!E16+'Co-PI Budget (1)'!E16+'Co-PI Budget (2)'!E16+'Co-PI Budget (3)'!E16+'Co-PI Budget (4)'!E16+'Co-PI Budget (5)'!E16</f>
        <v>0</v>
      </c>
      <c r="F31" s="5">
        <f>+'Lead Budget'!F16+'Co-PI Budget (1)'!F16+'Co-PI Budget (2)'!F16+'Co-PI Budget (3)'!F16+'Co-PI Budget (4)'!F16+'Co-PI Budget (5)'!F16</f>
        <v>0</v>
      </c>
      <c r="G31" s="5">
        <f>+'Lead Budget'!G16+'Co-PI Budget (1)'!G16+'Co-PI Budget (2)'!G16+'Co-PI Budget (3)'!G16+'Co-PI Budget (4)'!G16+'Co-PI Budget (5)'!G16</f>
        <v>0</v>
      </c>
      <c r="H31" s="5">
        <f>+'Lead Budget'!H16+'Co-PI Budget (1)'!H16+'Co-PI Budget (2)'!H16+'Co-PI Budget (3)'!H16+'Co-PI Budget (4)'!H16+'Co-PI Budget (5)'!H16</f>
        <v>0</v>
      </c>
      <c r="I31" s="5">
        <f>+'Lead Budget'!I16+'Co-PI Budget (1)'!I16+'Co-PI Budget (2)'!I16+'Co-PI Budget (3)'!I16+'Co-PI Budget (4)'!I16+'Co-PI Budget (5)'!I16</f>
        <v>0</v>
      </c>
      <c r="J31" s="5">
        <f>+'Lead Budget'!J16+'Co-PI Budget (1)'!J16+'Co-PI Budget (2)'!J16+'Co-PI Budget (3)'!J16+'Co-PI Budget (4)'!J16+'Co-PI Budget (5)'!J16</f>
        <v>0</v>
      </c>
      <c r="K31" s="5">
        <f>+'Lead Budget'!K16+'Co-PI Budget (1)'!K16+'Co-PI Budget (2)'!K16+'Co-PI Budget (3)'!K16+'Co-PI Budget (4)'!K16+'Co-PI Budget (5)'!K16</f>
        <v>0</v>
      </c>
      <c r="L31" s="360">
        <f t="shared" si="10"/>
        <v>0</v>
      </c>
      <c r="M31" s="384"/>
    </row>
    <row r="32" spans="1:13" x14ac:dyDescent="0.2">
      <c r="A32" s="3" t="str">
        <f>+'Lead Budget'!A17</f>
        <v>Other</v>
      </c>
      <c r="B32" s="5">
        <f>+'Lead Budget'!B17+'Co-PI Budget (1)'!B17+'Co-PI Budget (2)'!B17+'Co-PI Budget (3)'!B17+'Co-PI Budget (4)'!B17+'Co-PI Budget (5)'!B17</f>
        <v>0</v>
      </c>
      <c r="C32" s="5">
        <f>+'Lead Budget'!C17+'Co-PI Budget (1)'!C17+'Co-PI Budget (2)'!C17+'Co-PI Budget (3)'!C17+'Co-PI Budget (4)'!C17+'Co-PI Budget (5)'!C17</f>
        <v>0</v>
      </c>
      <c r="D32" s="5">
        <f>+'Lead Budget'!D17+'Co-PI Budget (1)'!D17+'Co-PI Budget (2)'!D17+'Co-PI Budget (3)'!D17+'Co-PI Budget (4)'!D17+'Co-PI Budget (5)'!D17</f>
        <v>0</v>
      </c>
      <c r="E32" s="5">
        <f>+'Lead Budget'!E17+'Co-PI Budget (1)'!E17+'Co-PI Budget (2)'!E17+'Co-PI Budget (3)'!E17+'Co-PI Budget (4)'!E17+'Co-PI Budget (5)'!E17</f>
        <v>0</v>
      </c>
      <c r="F32" s="5">
        <f>+'Lead Budget'!F17+'Co-PI Budget (1)'!F17+'Co-PI Budget (2)'!F17+'Co-PI Budget (3)'!F17+'Co-PI Budget (4)'!F17+'Co-PI Budget (5)'!F17</f>
        <v>0</v>
      </c>
      <c r="G32" s="5">
        <f>+'Lead Budget'!G17+'Co-PI Budget (1)'!G17+'Co-PI Budget (2)'!G17+'Co-PI Budget (3)'!G17+'Co-PI Budget (4)'!G17+'Co-PI Budget (5)'!G17</f>
        <v>0</v>
      </c>
      <c r="H32" s="5">
        <f>+'Lead Budget'!H17+'Co-PI Budget (1)'!H17+'Co-PI Budget (2)'!H17+'Co-PI Budget (3)'!H17+'Co-PI Budget (4)'!H17+'Co-PI Budget (5)'!H17</f>
        <v>0</v>
      </c>
      <c r="I32" s="5">
        <f>+'Lead Budget'!I17+'Co-PI Budget (1)'!I17+'Co-PI Budget (2)'!I17+'Co-PI Budget (3)'!I17+'Co-PI Budget (4)'!I17+'Co-PI Budget (5)'!I17</f>
        <v>0</v>
      </c>
      <c r="J32" s="5">
        <f>+'Lead Budget'!J17+'Co-PI Budget (1)'!J17+'Co-PI Budget (2)'!J17+'Co-PI Budget (3)'!J17+'Co-PI Budget (4)'!J17+'Co-PI Budget (5)'!J17</f>
        <v>0</v>
      </c>
      <c r="K32" s="5">
        <f>+'Lead Budget'!K17+'Co-PI Budget (1)'!K17+'Co-PI Budget (2)'!K17+'Co-PI Budget (3)'!K17+'Co-PI Budget (4)'!K17+'Co-PI Budget (5)'!K17</f>
        <v>0</v>
      </c>
      <c r="L32" s="360">
        <f t="shared" si="10"/>
        <v>0</v>
      </c>
      <c r="M32" s="384"/>
    </row>
    <row r="33" spans="1:19" ht="10.5" thickBot="1" x14ac:dyDescent="0.25">
      <c r="A33" s="76" t="str">
        <f>CONCATENATE("Total ",A27)</f>
        <v>Total Other Personnel</v>
      </c>
      <c r="B33" s="361">
        <f t="shared" ref="B33:L33" si="11">SUM(B27:B32)</f>
        <v>0</v>
      </c>
      <c r="C33" s="361">
        <f t="shared" si="11"/>
        <v>0</v>
      </c>
      <c r="D33" s="361">
        <f t="shared" si="11"/>
        <v>0</v>
      </c>
      <c r="E33" s="361">
        <f t="shared" si="11"/>
        <v>0</v>
      </c>
      <c r="F33" s="361">
        <f t="shared" si="11"/>
        <v>0</v>
      </c>
      <c r="G33" s="361">
        <f t="shared" ref="G33:K33" si="12">SUM(G27:G32)</f>
        <v>0</v>
      </c>
      <c r="H33" s="361">
        <f t="shared" si="12"/>
        <v>0</v>
      </c>
      <c r="I33" s="361">
        <f t="shared" si="12"/>
        <v>0</v>
      </c>
      <c r="J33" s="361">
        <f t="shared" si="12"/>
        <v>0</v>
      </c>
      <c r="K33" s="361">
        <f t="shared" si="12"/>
        <v>0</v>
      </c>
      <c r="L33" s="362">
        <f t="shared" si="11"/>
        <v>0</v>
      </c>
      <c r="M33" s="384"/>
    </row>
    <row r="34" spans="1:19" ht="10.5" thickBot="1" x14ac:dyDescent="0.25">
      <c r="A34" s="363" t="s">
        <v>118</v>
      </c>
      <c r="B34" s="364">
        <f t="shared" ref="B34:F34" si="13">+B26+B33</f>
        <v>0</v>
      </c>
      <c r="C34" s="364">
        <f t="shared" si="13"/>
        <v>0</v>
      </c>
      <c r="D34" s="364">
        <f t="shared" si="13"/>
        <v>0</v>
      </c>
      <c r="E34" s="364">
        <f t="shared" si="13"/>
        <v>0</v>
      </c>
      <c r="F34" s="364">
        <f t="shared" si="13"/>
        <v>0</v>
      </c>
      <c r="G34" s="364">
        <f t="shared" ref="G34" si="14">+G26+G33</f>
        <v>0</v>
      </c>
      <c r="H34" s="364">
        <f t="shared" ref="H34" si="15">+H26+H33</f>
        <v>0</v>
      </c>
      <c r="I34" s="364">
        <f t="shared" ref="I34" si="16">+I26+I33</f>
        <v>0</v>
      </c>
      <c r="J34" s="364">
        <f t="shared" ref="J34" si="17">+J26+J33</f>
        <v>0</v>
      </c>
      <c r="K34" s="364">
        <f t="shared" ref="K34" si="18">+K26+K33</f>
        <v>0</v>
      </c>
      <c r="L34" s="365">
        <f>SUM(B34:K34)</f>
        <v>0</v>
      </c>
      <c r="M34" s="384"/>
    </row>
    <row r="35" spans="1:19" ht="10.5" x14ac:dyDescent="0.25">
      <c r="A35" s="74" t="s">
        <v>7</v>
      </c>
      <c r="B35" s="359" t="s">
        <v>6</v>
      </c>
      <c r="C35" s="359" t="s">
        <v>6</v>
      </c>
      <c r="D35" s="359" t="s">
        <v>6</v>
      </c>
      <c r="E35" s="359" t="s">
        <v>6</v>
      </c>
      <c r="F35" s="359" t="s">
        <v>6</v>
      </c>
      <c r="G35" s="359" t="s">
        <v>6</v>
      </c>
      <c r="H35" s="359" t="s">
        <v>6</v>
      </c>
      <c r="I35" s="359" t="s">
        <v>6</v>
      </c>
      <c r="J35" s="359" t="s">
        <v>6</v>
      </c>
      <c r="K35" s="359" t="s">
        <v>6</v>
      </c>
      <c r="L35" s="360"/>
      <c r="M35" s="384"/>
    </row>
    <row r="36" spans="1:19" x14ac:dyDescent="0.2">
      <c r="A36" s="3" t="str">
        <f t="shared" ref="A36:A53" si="19">+A8</f>
        <v>PI</v>
      </c>
      <c r="B36" s="359">
        <f>+'Lead Budget'!B20</f>
        <v>0</v>
      </c>
      <c r="C36" s="359">
        <f>+'Lead Budget'!C20</f>
        <v>0</v>
      </c>
      <c r="D36" s="359">
        <f>+'Lead Budget'!D20</f>
        <v>0</v>
      </c>
      <c r="E36" s="359">
        <f>+'Lead Budget'!E20</f>
        <v>0</v>
      </c>
      <c r="F36" s="359">
        <f>+'Lead Budget'!F20</f>
        <v>0</v>
      </c>
      <c r="G36" s="359">
        <f>+'Lead Budget'!G20</f>
        <v>0</v>
      </c>
      <c r="H36" s="359">
        <f>+'Lead Budget'!H20</f>
        <v>0</v>
      </c>
      <c r="I36" s="359">
        <f>+'Lead Budget'!I20</f>
        <v>0</v>
      </c>
      <c r="J36" s="359">
        <f>+'Lead Budget'!J20</f>
        <v>0</v>
      </c>
      <c r="K36" s="359">
        <f>+'Lead Budget'!K20</f>
        <v>0</v>
      </c>
      <c r="L36" s="360">
        <f>SUM(B36:K36)</f>
        <v>0</v>
      </c>
      <c r="M36" s="384"/>
      <c r="N36" s="341"/>
      <c r="O36" s="341"/>
      <c r="P36" s="341"/>
    </row>
    <row r="37" spans="1:19" x14ac:dyDescent="0.2">
      <c r="A37" s="3" t="str">
        <f t="shared" si="19"/>
        <v>Co-PI</v>
      </c>
      <c r="B37" s="359">
        <f>+'Lead Budget'!B21</f>
        <v>0</v>
      </c>
      <c r="C37" s="359">
        <f>+'Lead Budget'!C21</f>
        <v>0</v>
      </c>
      <c r="D37" s="359">
        <f>+'Lead Budget'!D21</f>
        <v>0</v>
      </c>
      <c r="E37" s="359">
        <f>+'Lead Budget'!E21</f>
        <v>0</v>
      </c>
      <c r="F37" s="359">
        <f>+'Lead Budget'!F21</f>
        <v>0</v>
      </c>
      <c r="G37" s="359">
        <f>+'Lead Budget'!G21</f>
        <v>0</v>
      </c>
      <c r="H37" s="359">
        <f>+'Lead Budget'!H21</f>
        <v>0</v>
      </c>
      <c r="I37" s="359">
        <f>+'Lead Budget'!I21</f>
        <v>0</v>
      </c>
      <c r="J37" s="359">
        <f>+'Lead Budget'!J21</f>
        <v>0</v>
      </c>
      <c r="K37" s="359">
        <f>+'Lead Budget'!K21</f>
        <v>0</v>
      </c>
      <c r="L37" s="360">
        <f t="shared" ref="L37:L56" si="20">SUM(B37:K37)</f>
        <v>0</v>
      </c>
      <c r="M37" s="384"/>
      <c r="N37" s="341"/>
      <c r="O37" s="341"/>
      <c r="P37" s="341"/>
    </row>
    <row r="38" spans="1:19" x14ac:dyDescent="0.2">
      <c r="A38" s="3" t="str">
        <f t="shared" si="19"/>
        <v>Co-PI</v>
      </c>
      <c r="B38" s="359">
        <f>+'Lead Budget'!B22</f>
        <v>0</v>
      </c>
      <c r="C38" s="359">
        <f>+'Lead Budget'!C22</f>
        <v>0</v>
      </c>
      <c r="D38" s="359">
        <f>+'Lead Budget'!D22</f>
        <v>0</v>
      </c>
      <c r="E38" s="359">
        <f>+'Lead Budget'!E22</f>
        <v>0</v>
      </c>
      <c r="F38" s="359">
        <f>+'Lead Budget'!F22</f>
        <v>0</v>
      </c>
      <c r="G38" s="359">
        <f>+'Lead Budget'!G22</f>
        <v>0</v>
      </c>
      <c r="H38" s="359">
        <f>+'Lead Budget'!H22</f>
        <v>0</v>
      </c>
      <c r="I38" s="359">
        <f>+'Lead Budget'!I22</f>
        <v>0</v>
      </c>
      <c r="J38" s="359">
        <f>+'Lead Budget'!J22</f>
        <v>0</v>
      </c>
      <c r="K38" s="359">
        <f>+'Lead Budget'!K22</f>
        <v>0</v>
      </c>
      <c r="L38" s="360">
        <f t="shared" si="20"/>
        <v>0</v>
      </c>
      <c r="M38" s="384"/>
      <c r="N38" s="341"/>
      <c r="O38" s="341"/>
      <c r="P38" s="341"/>
    </row>
    <row r="39" spans="1:19" ht="10.5" x14ac:dyDescent="0.25">
      <c r="A39" s="3" t="str">
        <f t="shared" si="19"/>
        <v>Co-PI</v>
      </c>
      <c r="B39" s="359">
        <f>+'Co-PI Budget (1)'!B20</f>
        <v>0</v>
      </c>
      <c r="C39" s="359">
        <f>+'Co-PI Budget (1)'!C20</f>
        <v>0</v>
      </c>
      <c r="D39" s="359">
        <f>+'Co-PI Budget (1)'!D20</f>
        <v>0</v>
      </c>
      <c r="E39" s="359">
        <f>+'Co-PI Budget (1)'!E20</f>
        <v>0</v>
      </c>
      <c r="F39" s="359">
        <f>+'Co-PI Budget (1)'!F20</f>
        <v>0</v>
      </c>
      <c r="G39" s="359">
        <f>+'Co-PI Budget (1)'!G20</f>
        <v>0</v>
      </c>
      <c r="H39" s="359">
        <f>+'Co-PI Budget (1)'!H20</f>
        <v>0</v>
      </c>
      <c r="I39" s="359">
        <f>+'Co-PI Budget (1)'!I20</f>
        <v>0</v>
      </c>
      <c r="J39" s="359">
        <f>+'Co-PI Budget (1)'!J20</f>
        <v>0</v>
      </c>
      <c r="K39" s="359">
        <f>+'Co-PI Budget (1)'!K20</f>
        <v>0</v>
      </c>
      <c r="L39" s="360">
        <f t="shared" si="20"/>
        <v>0</v>
      </c>
      <c r="M39" s="384"/>
      <c r="N39" s="346"/>
      <c r="O39" s="347"/>
      <c r="P39" s="347"/>
      <c r="Q39" s="347"/>
      <c r="R39" s="347"/>
      <c r="S39" s="347"/>
    </row>
    <row r="40" spans="1:19" ht="10.5" x14ac:dyDescent="0.25">
      <c r="A40" s="3" t="str">
        <f t="shared" si="19"/>
        <v>Co-PI</v>
      </c>
      <c r="B40" s="359">
        <f>+'Co-PI Budget (1)'!B21</f>
        <v>0</v>
      </c>
      <c r="C40" s="359">
        <f>+'Co-PI Budget (1)'!C21</f>
        <v>0</v>
      </c>
      <c r="D40" s="359">
        <f>+'Co-PI Budget (1)'!D21</f>
        <v>0</v>
      </c>
      <c r="E40" s="359">
        <f>+'Co-PI Budget (1)'!E21</f>
        <v>0</v>
      </c>
      <c r="F40" s="359">
        <f>+'Co-PI Budget (1)'!F21</f>
        <v>0</v>
      </c>
      <c r="G40" s="359">
        <f>+'Co-PI Budget (1)'!G21</f>
        <v>0</v>
      </c>
      <c r="H40" s="359">
        <f>+'Co-PI Budget (1)'!H21</f>
        <v>0</v>
      </c>
      <c r="I40" s="359">
        <f>+'Co-PI Budget (1)'!I21</f>
        <v>0</v>
      </c>
      <c r="J40" s="359">
        <f>+'Co-PI Budget (1)'!J21</f>
        <v>0</v>
      </c>
      <c r="K40" s="359">
        <f>+'Co-PI Budget (1)'!K21</f>
        <v>0</v>
      </c>
      <c r="L40" s="360">
        <f t="shared" si="20"/>
        <v>0</v>
      </c>
      <c r="M40" s="384"/>
      <c r="N40" s="346"/>
      <c r="O40" s="347"/>
      <c r="P40" s="347"/>
      <c r="Q40" s="347"/>
      <c r="R40" s="347"/>
      <c r="S40" s="347"/>
    </row>
    <row r="41" spans="1:19" ht="10.5" x14ac:dyDescent="0.25">
      <c r="A41" s="3" t="str">
        <f t="shared" si="19"/>
        <v>Co-PI</v>
      </c>
      <c r="B41" s="359">
        <f>+'Co-PI Budget (1)'!B22</f>
        <v>0</v>
      </c>
      <c r="C41" s="359">
        <f>+'Co-PI Budget (1)'!C22</f>
        <v>0</v>
      </c>
      <c r="D41" s="359">
        <f>+'Co-PI Budget (1)'!D22</f>
        <v>0</v>
      </c>
      <c r="E41" s="359">
        <f>+'Co-PI Budget (1)'!E22</f>
        <v>0</v>
      </c>
      <c r="F41" s="359">
        <f>+'Co-PI Budget (1)'!F22</f>
        <v>0</v>
      </c>
      <c r="G41" s="359">
        <f>+'Co-PI Budget (1)'!G22</f>
        <v>0</v>
      </c>
      <c r="H41" s="359">
        <f>+'Co-PI Budget (1)'!H22</f>
        <v>0</v>
      </c>
      <c r="I41" s="359">
        <f>+'Co-PI Budget (1)'!I22</f>
        <v>0</v>
      </c>
      <c r="J41" s="359">
        <f>+'Co-PI Budget (1)'!J22</f>
        <v>0</v>
      </c>
      <c r="K41" s="359">
        <f>+'Co-PI Budget (1)'!K22</f>
        <v>0</v>
      </c>
      <c r="L41" s="360">
        <f t="shared" si="20"/>
        <v>0</v>
      </c>
      <c r="M41" s="384"/>
      <c r="N41" s="346"/>
      <c r="O41" s="347"/>
      <c r="P41" s="347"/>
      <c r="Q41" s="347"/>
      <c r="R41" s="347"/>
      <c r="S41" s="347"/>
    </row>
    <row r="42" spans="1:19" ht="10.5" x14ac:dyDescent="0.25">
      <c r="A42" s="3" t="str">
        <f t="shared" si="19"/>
        <v>Co-PI</v>
      </c>
      <c r="B42" s="359">
        <f>+'Co-PI Budget (2)'!B21</f>
        <v>0</v>
      </c>
      <c r="C42" s="359">
        <f>+'Co-PI Budget (2)'!C21</f>
        <v>0</v>
      </c>
      <c r="D42" s="359">
        <f>+'Co-PI Budget (2)'!D21</f>
        <v>0</v>
      </c>
      <c r="E42" s="359">
        <f>+'Co-PI Budget (2)'!E21</f>
        <v>0</v>
      </c>
      <c r="F42" s="359">
        <f>+'Co-PI Budget (2)'!F21</f>
        <v>0</v>
      </c>
      <c r="G42" s="359">
        <f>+'Co-PI Budget (2)'!G21</f>
        <v>0</v>
      </c>
      <c r="H42" s="359">
        <f>+'Co-PI Budget (2)'!H21</f>
        <v>0</v>
      </c>
      <c r="I42" s="359">
        <f>+'Co-PI Budget (2)'!I21</f>
        <v>0</v>
      </c>
      <c r="J42" s="359">
        <f>+'Co-PI Budget (2)'!J21</f>
        <v>0</v>
      </c>
      <c r="K42" s="359">
        <f>+'Co-PI Budget (2)'!K21</f>
        <v>0</v>
      </c>
      <c r="L42" s="360">
        <f t="shared" si="20"/>
        <v>0</v>
      </c>
      <c r="M42" s="384"/>
      <c r="N42" s="346"/>
      <c r="O42" s="347"/>
      <c r="P42" s="347"/>
      <c r="Q42" s="347"/>
      <c r="R42" s="347"/>
      <c r="S42" s="347"/>
    </row>
    <row r="43" spans="1:19" ht="10.5" x14ac:dyDescent="0.25">
      <c r="A43" s="3" t="str">
        <f t="shared" si="19"/>
        <v>Co-PI</v>
      </c>
      <c r="B43" s="359">
        <f>+'Co-PI Budget (2)'!B22</f>
        <v>0</v>
      </c>
      <c r="C43" s="359">
        <f>+'Co-PI Budget (2)'!C22</f>
        <v>0</v>
      </c>
      <c r="D43" s="359">
        <f>+'Co-PI Budget (2)'!D22</f>
        <v>0</v>
      </c>
      <c r="E43" s="359">
        <f>+'Co-PI Budget (2)'!E22</f>
        <v>0</v>
      </c>
      <c r="F43" s="359">
        <f>+'Co-PI Budget (2)'!F22</f>
        <v>0</v>
      </c>
      <c r="G43" s="359">
        <f>+'Co-PI Budget (2)'!G22</f>
        <v>0</v>
      </c>
      <c r="H43" s="359">
        <f>+'Co-PI Budget (2)'!H22</f>
        <v>0</v>
      </c>
      <c r="I43" s="359">
        <f>+'Co-PI Budget (2)'!I22</f>
        <v>0</v>
      </c>
      <c r="J43" s="359">
        <f>+'Co-PI Budget (2)'!J22</f>
        <v>0</v>
      </c>
      <c r="K43" s="359">
        <f>+'Co-PI Budget (2)'!K22</f>
        <v>0</v>
      </c>
      <c r="L43" s="360">
        <f t="shared" si="20"/>
        <v>0</v>
      </c>
      <c r="M43" s="384"/>
      <c r="N43" s="346"/>
      <c r="O43" s="347"/>
      <c r="P43" s="347"/>
      <c r="Q43" s="347"/>
      <c r="R43" s="347"/>
      <c r="S43" s="347"/>
    </row>
    <row r="44" spans="1:19" ht="10.5" x14ac:dyDescent="0.25">
      <c r="A44" s="3" t="str">
        <f t="shared" si="19"/>
        <v>Co-PI</v>
      </c>
      <c r="B44" s="359">
        <f>+'Co-PI Budget (2)'!B23</f>
        <v>0</v>
      </c>
      <c r="C44" s="359">
        <f>+'Co-PI Budget (2)'!C23</f>
        <v>0</v>
      </c>
      <c r="D44" s="359">
        <f>+'Co-PI Budget (2)'!D23</f>
        <v>0</v>
      </c>
      <c r="E44" s="359">
        <f>+'Co-PI Budget (2)'!E23</f>
        <v>0</v>
      </c>
      <c r="F44" s="359">
        <f>+'Co-PI Budget (2)'!F23</f>
        <v>0</v>
      </c>
      <c r="G44" s="359">
        <f>+'Co-PI Budget (2)'!G23</f>
        <v>0</v>
      </c>
      <c r="H44" s="359">
        <f>+'Co-PI Budget (2)'!H23</f>
        <v>0</v>
      </c>
      <c r="I44" s="359">
        <f>+'Co-PI Budget (2)'!I23</f>
        <v>0</v>
      </c>
      <c r="J44" s="359">
        <f>+'Co-PI Budget (2)'!J23</f>
        <v>0</v>
      </c>
      <c r="K44" s="359">
        <f>+'Co-PI Budget (2)'!K23</f>
        <v>0</v>
      </c>
      <c r="L44" s="360">
        <f t="shared" si="20"/>
        <v>0</v>
      </c>
      <c r="M44" s="384"/>
      <c r="N44" s="346"/>
      <c r="O44" s="347"/>
      <c r="P44" s="347"/>
      <c r="Q44" s="347"/>
      <c r="R44" s="347"/>
      <c r="S44" s="347"/>
    </row>
    <row r="45" spans="1:19" ht="10.5" x14ac:dyDescent="0.25">
      <c r="A45" s="3" t="str">
        <f t="shared" si="19"/>
        <v>Co-PI</v>
      </c>
      <c r="B45" s="359">
        <f>+'Co-PI Budget (3)'!B21</f>
        <v>0</v>
      </c>
      <c r="C45" s="359">
        <f>+'Co-PI Budget (3)'!C21</f>
        <v>0</v>
      </c>
      <c r="D45" s="359">
        <f>+'Co-PI Budget (3)'!D21</f>
        <v>0</v>
      </c>
      <c r="E45" s="359">
        <f>+'Co-PI Budget (3)'!E21</f>
        <v>0</v>
      </c>
      <c r="F45" s="359">
        <f>+'Co-PI Budget (3)'!F21</f>
        <v>0</v>
      </c>
      <c r="G45" s="359">
        <f>+'Co-PI Budget (3)'!G21</f>
        <v>0</v>
      </c>
      <c r="H45" s="359">
        <f>+'Co-PI Budget (3)'!H21</f>
        <v>0</v>
      </c>
      <c r="I45" s="359">
        <f>+'Co-PI Budget (3)'!I21</f>
        <v>0</v>
      </c>
      <c r="J45" s="359">
        <f>+'Co-PI Budget (3)'!J21</f>
        <v>0</v>
      </c>
      <c r="K45" s="359">
        <f>+'Co-PI Budget (3)'!K21</f>
        <v>0</v>
      </c>
      <c r="L45" s="360">
        <f t="shared" si="20"/>
        <v>0</v>
      </c>
      <c r="M45" s="384"/>
      <c r="N45" s="346"/>
      <c r="O45" s="347"/>
      <c r="P45" s="347"/>
      <c r="Q45" s="347"/>
      <c r="R45" s="347"/>
      <c r="S45" s="347"/>
    </row>
    <row r="46" spans="1:19" ht="10.5" x14ac:dyDescent="0.25">
      <c r="A46" s="3" t="str">
        <f t="shared" si="19"/>
        <v>Co-PI</v>
      </c>
      <c r="B46" s="359">
        <f>+'Co-PI Budget (3)'!B22</f>
        <v>0</v>
      </c>
      <c r="C46" s="359">
        <f>+'Co-PI Budget (3)'!C22</f>
        <v>0</v>
      </c>
      <c r="D46" s="359">
        <f>+'Co-PI Budget (3)'!D22</f>
        <v>0</v>
      </c>
      <c r="E46" s="359">
        <f>+'Co-PI Budget (3)'!E22</f>
        <v>0</v>
      </c>
      <c r="F46" s="359">
        <f>+'Co-PI Budget (3)'!F22</f>
        <v>0</v>
      </c>
      <c r="G46" s="359">
        <f>+'Co-PI Budget (3)'!G22</f>
        <v>0</v>
      </c>
      <c r="H46" s="359">
        <f>+'Co-PI Budget (3)'!H22</f>
        <v>0</v>
      </c>
      <c r="I46" s="359">
        <f>+'Co-PI Budget (3)'!I22</f>
        <v>0</v>
      </c>
      <c r="J46" s="359">
        <f>+'Co-PI Budget (3)'!J22</f>
        <v>0</v>
      </c>
      <c r="K46" s="359">
        <f>+'Co-PI Budget (3)'!K22</f>
        <v>0</v>
      </c>
      <c r="L46" s="360">
        <f t="shared" si="20"/>
        <v>0</v>
      </c>
      <c r="M46" s="384"/>
      <c r="N46" s="346"/>
      <c r="O46" s="347"/>
      <c r="P46" s="347"/>
      <c r="Q46" s="347"/>
      <c r="R46" s="347"/>
      <c r="S46" s="347"/>
    </row>
    <row r="47" spans="1:19" ht="10.5" x14ac:dyDescent="0.25">
      <c r="A47" s="3" t="str">
        <f t="shared" si="19"/>
        <v>Co-PI</v>
      </c>
      <c r="B47" s="359">
        <f>+'Co-PI Budget (3)'!B23</f>
        <v>0</v>
      </c>
      <c r="C47" s="359">
        <f>+'Co-PI Budget (3)'!C23</f>
        <v>0</v>
      </c>
      <c r="D47" s="359">
        <f>+'Co-PI Budget (3)'!D23</f>
        <v>0</v>
      </c>
      <c r="E47" s="359">
        <f>+'Co-PI Budget (3)'!E23</f>
        <v>0</v>
      </c>
      <c r="F47" s="359">
        <f>+'Co-PI Budget (3)'!F23</f>
        <v>0</v>
      </c>
      <c r="G47" s="359">
        <f>+'Co-PI Budget (3)'!G23</f>
        <v>0</v>
      </c>
      <c r="H47" s="359">
        <f>+'Co-PI Budget (3)'!H23</f>
        <v>0</v>
      </c>
      <c r="I47" s="359">
        <f>+'Co-PI Budget (3)'!I23</f>
        <v>0</v>
      </c>
      <c r="J47" s="359">
        <f>+'Co-PI Budget (3)'!J23</f>
        <v>0</v>
      </c>
      <c r="K47" s="359">
        <f>+'Co-PI Budget (3)'!K23</f>
        <v>0</v>
      </c>
      <c r="L47" s="360">
        <f t="shared" si="20"/>
        <v>0</v>
      </c>
      <c r="M47" s="384"/>
      <c r="N47" s="346"/>
      <c r="O47" s="347"/>
      <c r="P47" s="347"/>
      <c r="Q47" s="347"/>
      <c r="R47" s="347"/>
      <c r="S47" s="347"/>
    </row>
    <row r="48" spans="1:19" ht="10.5" x14ac:dyDescent="0.25">
      <c r="A48" s="3" t="str">
        <f t="shared" si="19"/>
        <v>Co-PI</v>
      </c>
      <c r="B48" s="359">
        <f>+'Co-PI Budget (4)'!B21</f>
        <v>0</v>
      </c>
      <c r="C48" s="359">
        <f>+'Co-PI Budget (4)'!C21</f>
        <v>0</v>
      </c>
      <c r="D48" s="359">
        <f>+'Co-PI Budget (4)'!D21</f>
        <v>0</v>
      </c>
      <c r="E48" s="359">
        <f>+'Co-PI Budget (4)'!E21</f>
        <v>0</v>
      </c>
      <c r="F48" s="359">
        <f>+'Co-PI Budget (4)'!F21</f>
        <v>0</v>
      </c>
      <c r="G48" s="359">
        <f>+'Co-PI Budget (4)'!G21</f>
        <v>0</v>
      </c>
      <c r="H48" s="359">
        <f>+'Co-PI Budget (4)'!H21</f>
        <v>0</v>
      </c>
      <c r="I48" s="359">
        <f>+'Co-PI Budget (4)'!I21</f>
        <v>0</v>
      </c>
      <c r="J48" s="359">
        <f>+'Co-PI Budget (4)'!J21</f>
        <v>0</v>
      </c>
      <c r="K48" s="359">
        <f>+'Co-PI Budget (4)'!K21</f>
        <v>0</v>
      </c>
      <c r="L48" s="360">
        <f t="shared" si="20"/>
        <v>0</v>
      </c>
      <c r="M48" s="384"/>
      <c r="N48" s="346"/>
      <c r="O48" s="347"/>
      <c r="P48" s="347"/>
      <c r="Q48" s="347"/>
      <c r="R48" s="347"/>
      <c r="S48" s="347"/>
    </row>
    <row r="49" spans="1:20" ht="10.5" x14ac:dyDescent="0.25">
      <c r="A49" s="3" t="str">
        <f t="shared" si="19"/>
        <v>Co-PI</v>
      </c>
      <c r="B49" s="359">
        <f>+'Co-PI Budget (4)'!B22</f>
        <v>0</v>
      </c>
      <c r="C49" s="359">
        <f>+'Co-PI Budget (4)'!C22</f>
        <v>0</v>
      </c>
      <c r="D49" s="359">
        <f>+'Co-PI Budget (4)'!D22</f>
        <v>0</v>
      </c>
      <c r="E49" s="359">
        <f>+'Co-PI Budget (4)'!E22</f>
        <v>0</v>
      </c>
      <c r="F49" s="359">
        <f>+'Co-PI Budget (4)'!F22</f>
        <v>0</v>
      </c>
      <c r="G49" s="359">
        <f>+'Co-PI Budget (4)'!G22</f>
        <v>0</v>
      </c>
      <c r="H49" s="359">
        <f>+'Co-PI Budget (4)'!H22</f>
        <v>0</v>
      </c>
      <c r="I49" s="359">
        <f>+'Co-PI Budget (4)'!I22</f>
        <v>0</v>
      </c>
      <c r="J49" s="359">
        <f>+'Co-PI Budget (4)'!J22</f>
        <v>0</v>
      </c>
      <c r="K49" s="359">
        <f>+'Co-PI Budget (4)'!K22</f>
        <v>0</v>
      </c>
      <c r="L49" s="360">
        <f t="shared" si="20"/>
        <v>0</v>
      </c>
      <c r="M49" s="384"/>
      <c r="N49" s="346"/>
      <c r="O49" s="347"/>
      <c r="P49" s="347"/>
      <c r="Q49" s="347"/>
      <c r="R49" s="347"/>
      <c r="S49" s="347"/>
    </row>
    <row r="50" spans="1:20" x14ac:dyDescent="0.2">
      <c r="A50" s="3" t="str">
        <f t="shared" si="19"/>
        <v>Co-PI</v>
      </c>
      <c r="B50" s="359">
        <f>+'Co-PI Budget (4)'!B23</f>
        <v>0</v>
      </c>
      <c r="C50" s="359">
        <f>+'Co-PI Budget (4)'!C23</f>
        <v>0</v>
      </c>
      <c r="D50" s="359">
        <f>+'Co-PI Budget (4)'!D23</f>
        <v>0</v>
      </c>
      <c r="E50" s="359">
        <f>+'Co-PI Budget (4)'!E23</f>
        <v>0</v>
      </c>
      <c r="F50" s="359">
        <f>+'Co-PI Budget (4)'!F23</f>
        <v>0</v>
      </c>
      <c r="G50" s="359">
        <f>+'Co-PI Budget (4)'!G23</f>
        <v>0</v>
      </c>
      <c r="H50" s="359">
        <f>+'Co-PI Budget (4)'!H23</f>
        <v>0</v>
      </c>
      <c r="I50" s="359">
        <f>+'Co-PI Budget (4)'!I23</f>
        <v>0</v>
      </c>
      <c r="J50" s="359">
        <f>+'Co-PI Budget (4)'!J23</f>
        <v>0</v>
      </c>
      <c r="K50" s="359">
        <f>+'Co-PI Budget (4)'!K23</f>
        <v>0</v>
      </c>
      <c r="L50" s="360">
        <f t="shared" si="20"/>
        <v>0</v>
      </c>
      <c r="M50" s="384"/>
      <c r="N50" s="348"/>
    </row>
    <row r="51" spans="1:20" ht="10.5" x14ac:dyDescent="0.25">
      <c r="A51" s="3" t="str">
        <f t="shared" si="19"/>
        <v>Co-PI</v>
      </c>
      <c r="B51" s="359">
        <f>+'Co-PI Budget (5)'!B21</f>
        <v>0</v>
      </c>
      <c r="C51" s="359">
        <f>+'Co-PI Budget (5)'!C21</f>
        <v>0</v>
      </c>
      <c r="D51" s="359">
        <f>+'Co-PI Budget (5)'!D21</f>
        <v>0</v>
      </c>
      <c r="E51" s="359">
        <f>+'Co-PI Budget (5)'!E21</f>
        <v>0</v>
      </c>
      <c r="F51" s="359">
        <f>+'Co-PI Budget (5)'!F21</f>
        <v>0</v>
      </c>
      <c r="G51" s="359">
        <f>+'Co-PI Budget (5)'!G21</f>
        <v>0</v>
      </c>
      <c r="H51" s="359">
        <f>+'Co-PI Budget (5)'!H21</f>
        <v>0</v>
      </c>
      <c r="I51" s="359">
        <f>+'Co-PI Budget (5)'!I21</f>
        <v>0</v>
      </c>
      <c r="J51" s="359">
        <f>+'Co-PI Budget (5)'!J21</f>
        <v>0</v>
      </c>
      <c r="K51" s="359">
        <f>+'Co-PI Budget (5)'!K21</f>
        <v>0</v>
      </c>
      <c r="L51" s="360">
        <f t="shared" si="20"/>
        <v>0</v>
      </c>
      <c r="M51" s="384"/>
      <c r="N51" s="346"/>
      <c r="O51" s="347"/>
      <c r="P51" s="347"/>
      <c r="Q51" s="347"/>
      <c r="R51" s="347"/>
      <c r="S51" s="347"/>
    </row>
    <row r="52" spans="1:20" ht="10.5" x14ac:dyDescent="0.25">
      <c r="A52" s="3" t="str">
        <f t="shared" si="19"/>
        <v>Co-PI</v>
      </c>
      <c r="B52" s="359">
        <f>+'Co-PI Budget (5)'!B22</f>
        <v>0</v>
      </c>
      <c r="C52" s="359">
        <f>+'Co-PI Budget (5)'!C22</f>
        <v>0</v>
      </c>
      <c r="D52" s="359">
        <f>+'Co-PI Budget (5)'!D22</f>
        <v>0</v>
      </c>
      <c r="E52" s="359">
        <f>+'Co-PI Budget (5)'!E22</f>
        <v>0</v>
      </c>
      <c r="F52" s="359">
        <f>+'Co-PI Budget (5)'!F22</f>
        <v>0</v>
      </c>
      <c r="G52" s="359">
        <f>+'Co-PI Budget (5)'!G22</f>
        <v>0</v>
      </c>
      <c r="H52" s="359">
        <f>+'Co-PI Budget (5)'!H22</f>
        <v>0</v>
      </c>
      <c r="I52" s="359">
        <f>+'Co-PI Budget (5)'!I22</f>
        <v>0</v>
      </c>
      <c r="J52" s="359">
        <f>+'Co-PI Budget (5)'!J22</f>
        <v>0</v>
      </c>
      <c r="K52" s="359">
        <f>+'Co-PI Budget (5)'!K22</f>
        <v>0</v>
      </c>
      <c r="L52" s="360">
        <f t="shared" si="20"/>
        <v>0</v>
      </c>
      <c r="M52" s="384"/>
      <c r="N52" s="346"/>
      <c r="O52" s="347"/>
      <c r="P52" s="347"/>
      <c r="Q52" s="347"/>
      <c r="R52" s="347"/>
      <c r="S52" s="347"/>
    </row>
    <row r="53" spans="1:20" ht="10.5" x14ac:dyDescent="0.25">
      <c r="A53" s="3" t="str">
        <f t="shared" si="19"/>
        <v>Co-PI</v>
      </c>
      <c r="B53" s="359">
        <f>+'Co-PI Budget (5)'!B23</f>
        <v>0</v>
      </c>
      <c r="C53" s="359">
        <f>+'Co-PI Budget (5)'!C23</f>
        <v>0</v>
      </c>
      <c r="D53" s="359">
        <f>+'Co-PI Budget (5)'!D23</f>
        <v>0</v>
      </c>
      <c r="E53" s="359">
        <f>+'Co-PI Budget (5)'!E23</f>
        <v>0</v>
      </c>
      <c r="F53" s="359">
        <f>+'Co-PI Budget (5)'!F23</f>
        <v>0</v>
      </c>
      <c r="G53" s="359">
        <f>+'Co-PI Budget (5)'!G23</f>
        <v>0</v>
      </c>
      <c r="H53" s="359">
        <f>+'Co-PI Budget (5)'!H23</f>
        <v>0</v>
      </c>
      <c r="I53" s="359">
        <f>+'Co-PI Budget (5)'!I23</f>
        <v>0</v>
      </c>
      <c r="J53" s="359">
        <f>+'Co-PI Budget (5)'!J23</f>
        <v>0</v>
      </c>
      <c r="K53" s="359">
        <f>+'Co-PI Budget (5)'!K23</f>
        <v>0</v>
      </c>
      <c r="L53" s="360">
        <f t="shared" si="20"/>
        <v>0</v>
      </c>
      <c r="M53" s="384"/>
      <c r="N53" s="346"/>
      <c r="O53" s="347"/>
      <c r="P53" s="347"/>
      <c r="Q53" s="347"/>
      <c r="R53" s="347"/>
      <c r="S53" s="347"/>
    </row>
    <row r="54" spans="1:20" x14ac:dyDescent="0.2">
      <c r="A54" s="3" t="str">
        <f>+A28</f>
        <v>Post Doctoral Scholar(s)</v>
      </c>
      <c r="B54" s="359">
        <f>+'Lead Budget'!B23+'Co-PI Budget (1)'!B23+'Co-PI Budget (2)'!B24+'Co-PI Budget (3)'!B24+'Co-PI Budget (4)'!B24+'Co-PI Budget (5)'!B24</f>
        <v>0</v>
      </c>
      <c r="C54" s="359">
        <f>+'Lead Budget'!C23+'Co-PI Budget (1)'!C23+'Co-PI Budget (2)'!C24+'Co-PI Budget (3)'!C24+'Co-PI Budget (4)'!C24+'Co-PI Budget (5)'!C24</f>
        <v>0</v>
      </c>
      <c r="D54" s="359">
        <f>+'Lead Budget'!D23+'Co-PI Budget (1)'!D23+'Co-PI Budget (2)'!D24+'Co-PI Budget (3)'!D24+'Co-PI Budget (4)'!D24+'Co-PI Budget (5)'!D24</f>
        <v>0</v>
      </c>
      <c r="E54" s="359">
        <f>+'Lead Budget'!E23+'Co-PI Budget (1)'!E23+'Co-PI Budget (2)'!E24+'Co-PI Budget (3)'!E24+'Co-PI Budget (4)'!E24+'Co-PI Budget (5)'!E24</f>
        <v>0</v>
      </c>
      <c r="F54" s="359">
        <f>+'Lead Budget'!F23+'Co-PI Budget (1)'!F23+'Co-PI Budget (2)'!F24+'Co-PI Budget (3)'!F24+'Co-PI Budget (4)'!F24+'Co-PI Budget (5)'!F24</f>
        <v>0</v>
      </c>
      <c r="G54" s="359">
        <f>+'Lead Budget'!G23+'Co-PI Budget (1)'!G23+'Co-PI Budget (2)'!G24+'Co-PI Budget (3)'!G24+'Co-PI Budget (4)'!G24+'Co-PI Budget (5)'!G24</f>
        <v>0</v>
      </c>
      <c r="H54" s="359">
        <f>+'Lead Budget'!H23+'Co-PI Budget (1)'!H23+'Co-PI Budget (2)'!H24+'Co-PI Budget (3)'!H24+'Co-PI Budget (4)'!H24+'Co-PI Budget (5)'!H24</f>
        <v>0</v>
      </c>
      <c r="I54" s="359">
        <f>+'Lead Budget'!I23+'Co-PI Budget (1)'!I23+'Co-PI Budget (2)'!I24+'Co-PI Budget (3)'!I24+'Co-PI Budget (4)'!I24+'Co-PI Budget (5)'!I24</f>
        <v>0</v>
      </c>
      <c r="J54" s="359">
        <f>+'Lead Budget'!J23+'Co-PI Budget (1)'!J23+'Co-PI Budget (2)'!J24+'Co-PI Budget (3)'!J24+'Co-PI Budget (4)'!J24+'Co-PI Budget (5)'!J24</f>
        <v>0</v>
      </c>
      <c r="K54" s="359">
        <f>+'Lead Budget'!K23+'Co-PI Budget (1)'!K23+'Co-PI Budget (2)'!K24+'Co-PI Budget (3)'!K24+'Co-PI Budget (4)'!K24+'Co-PI Budget (5)'!K24</f>
        <v>0</v>
      </c>
      <c r="L54" s="360">
        <f t="shared" si="20"/>
        <v>0</v>
      </c>
      <c r="M54" s="384"/>
      <c r="O54" s="341"/>
      <c r="P54" s="341"/>
    </row>
    <row r="55" spans="1:20" x14ac:dyDescent="0.2">
      <c r="A55" s="3" t="str">
        <f>+A29</f>
        <v>Other Professional(s) (Technicians, etc)</v>
      </c>
      <c r="B55" s="359">
        <f>+'Lead Budget'!B24+'Co-PI Budget (1)'!B24+'Co-PI Budget (2)'!B25+'Co-PI Budget (3)'!B25+'Co-PI Budget (4)'!B25+'Co-PI Budget (5)'!B25</f>
        <v>0</v>
      </c>
      <c r="C55" s="359">
        <f>+'Lead Budget'!C24+'Co-PI Budget (1)'!C24+'Co-PI Budget (2)'!C25+'Co-PI Budget (3)'!C25+'Co-PI Budget (4)'!C25+'Co-PI Budget (5)'!C25</f>
        <v>0</v>
      </c>
      <c r="D55" s="359">
        <f>+'Lead Budget'!D24+'Co-PI Budget (1)'!D24+'Co-PI Budget (2)'!D25+'Co-PI Budget (3)'!D25+'Co-PI Budget (4)'!D25+'Co-PI Budget (5)'!D25</f>
        <v>0</v>
      </c>
      <c r="E55" s="359">
        <f>+'Lead Budget'!E24+'Co-PI Budget (1)'!E24+'Co-PI Budget (2)'!E25+'Co-PI Budget (3)'!E25+'Co-PI Budget (4)'!E25+'Co-PI Budget (5)'!E25</f>
        <v>0</v>
      </c>
      <c r="F55" s="359">
        <f>+'Lead Budget'!F24+'Co-PI Budget (1)'!F24+'Co-PI Budget (2)'!F25+'Co-PI Budget (3)'!F25+'Co-PI Budget (4)'!F25+'Co-PI Budget (5)'!F25</f>
        <v>0</v>
      </c>
      <c r="G55" s="359">
        <f>+'Lead Budget'!G24+'Co-PI Budget (1)'!G24+'Co-PI Budget (2)'!G25+'Co-PI Budget (3)'!G25+'Co-PI Budget (4)'!G25+'Co-PI Budget (5)'!G25</f>
        <v>0</v>
      </c>
      <c r="H55" s="359">
        <f>+'Lead Budget'!H24+'Co-PI Budget (1)'!H24+'Co-PI Budget (2)'!H25+'Co-PI Budget (3)'!H25+'Co-PI Budget (4)'!H25+'Co-PI Budget (5)'!H25</f>
        <v>0</v>
      </c>
      <c r="I55" s="359">
        <f>+'Lead Budget'!I24+'Co-PI Budget (1)'!I24+'Co-PI Budget (2)'!I25+'Co-PI Budget (3)'!I25+'Co-PI Budget (4)'!I25+'Co-PI Budget (5)'!I25</f>
        <v>0</v>
      </c>
      <c r="J55" s="359">
        <f>+'Lead Budget'!J24+'Co-PI Budget (1)'!J24+'Co-PI Budget (2)'!J25+'Co-PI Budget (3)'!J25+'Co-PI Budget (4)'!J25+'Co-PI Budget (5)'!J25</f>
        <v>0</v>
      </c>
      <c r="K55" s="359">
        <f>+'Lead Budget'!K24+'Co-PI Budget (1)'!K24+'Co-PI Budget (2)'!K25+'Co-PI Budget (3)'!K25+'Co-PI Budget (4)'!K25+'Co-PI Budget (5)'!K25</f>
        <v>0</v>
      </c>
      <c r="L55" s="360">
        <f t="shared" si="20"/>
        <v>0</v>
      </c>
      <c r="M55" s="384"/>
    </row>
    <row r="56" spans="1:20" ht="10.5" x14ac:dyDescent="0.25">
      <c r="A56" s="3" t="str">
        <f>+A32</f>
        <v>Other</v>
      </c>
      <c r="B56" s="359">
        <f>+'Lead Budget'!B25+'Co-PI Budget (1)'!B25+'Co-PI Budget (2)'!B26+'Co-PI Budget (3)'!B26+'Co-PI Budget (4)'!B26+'Co-PI Budget (5)'!B26</f>
        <v>0</v>
      </c>
      <c r="C56" s="359">
        <f>+'Lead Budget'!C25+'Co-PI Budget (1)'!C25+'Co-PI Budget (2)'!C26+'Co-PI Budget (3)'!C26+'Co-PI Budget (4)'!C26+'Co-PI Budget (5)'!C26</f>
        <v>0</v>
      </c>
      <c r="D56" s="359">
        <f>+'Lead Budget'!D25+'Co-PI Budget (1)'!D25+'Co-PI Budget (2)'!D26+'Co-PI Budget (3)'!D26+'Co-PI Budget (4)'!D26+'Co-PI Budget (5)'!D26</f>
        <v>0</v>
      </c>
      <c r="E56" s="359">
        <f>+'Lead Budget'!E25+'Co-PI Budget (1)'!E25+'Co-PI Budget (2)'!E26+'Co-PI Budget (3)'!E26+'Co-PI Budget (4)'!E26+'Co-PI Budget (5)'!E26</f>
        <v>0</v>
      </c>
      <c r="F56" s="359">
        <f>+'Lead Budget'!F25+'Co-PI Budget (1)'!F25+'Co-PI Budget (2)'!F26+'Co-PI Budget (3)'!F26+'Co-PI Budget (4)'!F26+'Co-PI Budget (5)'!F26</f>
        <v>0</v>
      </c>
      <c r="G56" s="359">
        <f>+'Lead Budget'!G25+'Co-PI Budget (1)'!G25+'Co-PI Budget (2)'!G26+'Co-PI Budget (3)'!G26+'Co-PI Budget (4)'!G26+'Co-PI Budget (5)'!G26</f>
        <v>0</v>
      </c>
      <c r="H56" s="359">
        <f>+'Lead Budget'!H25+'Co-PI Budget (1)'!H25+'Co-PI Budget (2)'!H26+'Co-PI Budget (3)'!H26+'Co-PI Budget (4)'!H26+'Co-PI Budget (5)'!H26</f>
        <v>0</v>
      </c>
      <c r="I56" s="359">
        <f>+'Lead Budget'!I25+'Co-PI Budget (1)'!I25+'Co-PI Budget (2)'!I26+'Co-PI Budget (3)'!I26+'Co-PI Budget (4)'!I26+'Co-PI Budget (5)'!I26</f>
        <v>0</v>
      </c>
      <c r="J56" s="359">
        <f>+'Lead Budget'!J25+'Co-PI Budget (1)'!J25+'Co-PI Budget (2)'!J26+'Co-PI Budget (3)'!J26+'Co-PI Budget (4)'!J26+'Co-PI Budget (5)'!J26</f>
        <v>0</v>
      </c>
      <c r="K56" s="359">
        <f>+'Lead Budget'!K25+'Co-PI Budget (1)'!K25+'Co-PI Budget (2)'!K26+'Co-PI Budget (3)'!K26+'Co-PI Budget (4)'!K26+'Co-PI Budget (5)'!K26</f>
        <v>0</v>
      </c>
      <c r="L56" s="360">
        <f t="shared" si="20"/>
        <v>0</v>
      </c>
      <c r="M56" s="384"/>
      <c r="N56" s="346"/>
      <c r="O56" s="349"/>
      <c r="P56" s="349"/>
      <c r="Q56" s="349"/>
      <c r="R56" s="349"/>
      <c r="S56" s="349"/>
      <c r="T56" s="349"/>
    </row>
    <row r="57" spans="1:20" ht="10.5" thickBot="1" x14ac:dyDescent="0.25">
      <c r="A57" s="76" t="str">
        <f>CONCATENATE("Total ",A35)</f>
        <v>Total Fringe Benefits</v>
      </c>
      <c r="B57" s="361">
        <f>SUM(B35:B56)</f>
        <v>0</v>
      </c>
      <c r="C57" s="361">
        <f t="shared" ref="C57:F57" si="21">SUM(C35:C56)</f>
        <v>0</v>
      </c>
      <c r="D57" s="361">
        <f t="shared" si="21"/>
        <v>0</v>
      </c>
      <c r="E57" s="361">
        <f t="shared" si="21"/>
        <v>0</v>
      </c>
      <c r="F57" s="361">
        <f t="shared" si="21"/>
        <v>0</v>
      </c>
      <c r="G57" s="361">
        <f t="shared" ref="G57:K57" si="22">SUM(G35:G56)</f>
        <v>0</v>
      </c>
      <c r="H57" s="361">
        <f t="shared" si="22"/>
        <v>0</v>
      </c>
      <c r="I57" s="361">
        <f t="shared" si="22"/>
        <v>0</v>
      </c>
      <c r="J57" s="361">
        <f t="shared" si="22"/>
        <v>0</v>
      </c>
      <c r="K57" s="361">
        <f t="shared" si="22"/>
        <v>0</v>
      </c>
      <c r="L57" s="362">
        <f>SUM(L35:L56)</f>
        <v>0</v>
      </c>
      <c r="M57" s="384"/>
      <c r="N57" s="341"/>
      <c r="O57" s="341"/>
      <c r="P57" s="341"/>
    </row>
    <row r="58" spans="1:20" ht="11" thickBot="1" x14ac:dyDescent="0.3">
      <c r="A58" s="130" t="s">
        <v>108</v>
      </c>
      <c r="B58" s="131">
        <f>+B34+B57</f>
        <v>0</v>
      </c>
      <c r="C58" s="131">
        <f t="shared" ref="C58:L58" si="23">+C34+C57</f>
        <v>0</v>
      </c>
      <c r="D58" s="131">
        <f t="shared" si="23"/>
        <v>0</v>
      </c>
      <c r="E58" s="131">
        <f>+E34+E57</f>
        <v>0</v>
      </c>
      <c r="F58" s="131">
        <f t="shared" si="23"/>
        <v>0</v>
      </c>
      <c r="G58" s="131">
        <f t="shared" ref="G58:K58" si="24">+G34+G57</f>
        <v>0</v>
      </c>
      <c r="H58" s="131">
        <f t="shared" si="24"/>
        <v>0</v>
      </c>
      <c r="I58" s="131">
        <f t="shared" si="24"/>
        <v>0</v>
      </c>
      <c r="J58" s="131">
        <f t="shared" si="24"/>
        <v>0</v>
      </c>
      <c r="K58" s="131">
        <f t="shared" si="24"/>
        <v>0</v>
      </c>
      <c r="L58" s="366">
        <f t="shared" si="23"/>
        <v>0</v>
      </c>
      <c r="M58" s="384"/>
      <c r="N58" s="341"/>
      <c r="O58" s="341"/>
      <c r="P58" s="341"/>
    </row>
    <row r="59" spans="1:20" ht="10.5" x14ac:dyDescent="0.25">
      <c r="A59" s="77" t="s">
        <v>25</v>
      </c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60"/>
      <c r="M59" s="384"/>
      <c r="N59" s="341"/>
      <c r="O59" s="341"/>
      <c r="P59" s="341"/>
    </row>
    <row r="60" spans="1:20" x14ac:dyDescent="0.2">
      <c r="A60" s="3" t="s">
        <v>62</v>
      </c>
      <c r="B60" s="359">
        <f>+'Lead Budget'!B29+'Co-PI Budget (1)'!B29+'Co-PI Budget (2)'!B30+'Co-PI Budget (3)'!B30+'Co-PI Budget (4)'!B30+'Co-PI Budget (5)'!B30</f>
        <v>0</v>
      </c>
      <c r="C60" s="359">
        <f>+'Lead Budget'!C29+'Co-PI Budget (1)'!C29+'Co-PI Budget (2)'!C30+'Co-PI Budget (3)'!C30+'Co-PI Budget (4)'!C30+'Co-PI Budget (5)'!C30</f>
        <v>0</v>
      </c>
      <c r="D60" s="359">
        <f>+'Lead Budget'!D29+'Co-PI Budget (1)'!D29+'Co-PI Budget (2)'!D30+'Co-PI Budget (3)'!D30+'Co-PI Budget (4)'!D30+'Co-PI Budget (5)'!D30</f>
        <v>0</v>
      </c>
      <c r="E60" s="359">
        <f>+'Lead Budget'!E29+'Co-PI Budget (1)'!E29+'Co-PI Budget (2)'!E30+'Co-PI Budget (3)'!E30+'Co-PI Budget (4)'!E30+'Co-PI Budget (5)'!E30</f>
        <v>0</v>
      </c>
      <c r="F60" s="359">
        <f>+'Lead Budget'!F29+'Co-PI Budget (1)'!F29+'Co-PI Budget (2)'!F30+'Co-PI Budget (3)'!F30+'Co-PI Budget (4)'!F30+'Co-PI Budget (5)'!F30</f>
        <v>0</v>
      </c>
      <c r="G60" s="359">
        <f>+'Lead Budget'!G29+'Co-PI Budget (1)'!G29+'Co-PI Budget (2)'!G30+'Co-PI Budget (3)'!G30+'Co-PI Budget (4)'!G30+'Co-PI Budget (5)'!G30</f>
        <v>0</v>
      </c>
      <c r="H60" s="359">
        <f>+'Lead Budget'!H29+'Co-PI Budget (1)'!H29+'Co-PI Budget (2)'!H30+'Co-PI Budget (3)'!H30+'Co-PI Budget (4)'!H30+'Co-PI Budget (5)'!H30</f>
        <v>0</v>
      </c>
      <c r="I60" s="359">
        <f>+'Lead Budget'!I29+'Co-PI Budget (1)'!I29+'Co-PI Budget (2)'!I30+'Co-PI Budget (3)'!I30+'Co-PI Budget (4)'!I30+'Co-PI Budget (5)'!I30</f>
        <v>0</v>
      </c>
      <c r="J60" s="359">
        <f>+'Lead Budget'!J29+'Co-PI Budget (1)'!J29+'Co-PI Budget (2)'!J30+'Co-PI Budget (3)'!J30+'Co-PI Budget (4)'!J30+'Co-PI Budget (5)'!J30</f>
        <v>0</v>
      </c>
      <c r="K60" s="359">
        <f>+'Lead Budget'!K29+'Co-PI Budget (1)'!K29+'Co-PI Budget (2)'!K30+'Co-PI Budget (3)'!K30+'Co-PI Budget (4)'!K30+'Co-PI Budget (5)'!K30</f>
        <v>0</v>
      </c>
      <c r="L60" s="360">
        <f>SUM(B60:K60)</f>
        <v>0</v>
      </c>
      <c r="M60" s="384"/>
    </row>
    <row r="61" spans="1:20" ht="10.5" thickBot="1" x14ac:dyDescent="0.25">
      <c r="A61" s="76" t="str">
        <f>CONCATENATE("Total ",A59)</f>
        <v>Total Equipment</v>
      </c>
      <c r="B61" s="361">
        <f t="shared" ref="B61:L61" si="25">SUM(B59:B60)</f>
        <v>0</v>
      </c>
      <c r="C61" s="361">
        <f t="shared" si="25"/>
        <v>0</v>
      </c>
      <c r="D61" s="361">
        <f t="shared" si="25"/>
        <v>0</v>
      </c>
      <c r="E61" s="361">
        <f t="shared" si="25"/>
        <v>0</v>
      </c>
      <c r="F61" s="361">
        <f t="shared" si="25"/>
        <v>0</v>
      </c>
      <c r="G61" s="361">
        <f t="shared" ref="G61:K61" si="26">SUM(G59:G60)</f>
        <v>0</v>
      </c>
      <c r="H61" s="361">
        <f t="shared" si="26"/>
        <v>0</v>
      </c>
      <c r="I61" s="361">
        <f t="shared" si="26"/>
        <v>0</v>
      </c>
      <c r="J61" s="361">
        <f t="shared" si="26"/>
        <v>0</v>
      </c>
      <c r="K61" s="361">
        <f t="shared" si="26"/>
        <v>0</v>
      </c>
      <c r="L61" s="362">
        <f t="shared" si="25"/>
        <v>0</v>
      </c>
      <c r="M61" s="384"/>
    </row>
    <row r="62" spans="1:20" ht="10.5" x14ac:dyDescent="0.25">
      <c r="A62" s="77" t="s">
        <v>34</v>
      </c>
      <c r="B62" s="359"/>
      <c r="C62" s="359"/>
      <c r="D62" s="359"/>
      <c r="E62" s="359"/>
      <c r="F62" s="359"/>
      <c r="G62" s="359"/>
      <c r="H62" s="359"/>
      <c r="I62" s="359"/>
      <c r="J62" s="359"/>
      <c r="K62" s="359"/>
      <c r="L62" s="360"/>
      <c r="M62" s="384"/>
    </row>
    <row r="63" spans="1:20" x14ac:dyDescent="0.2">
      <c r="A63" s="3" t="s">
        <v>10</v>
      </c>
      <c r="B63" s="359">
        <f>+'Lead Budget'!B32+'Co-PI Budget (1)'!B32+'Co-PI Budget (2)'!B34+'Co-PI Budget (3)'!B34+'Co-PI Budget (4)'!B34+'Co-PI Budget (5)'!B34</f>
        <v>0</v>
      </c>
      <c r="C63" s="359">
        <f>+'Lead Budget'!C32+'Co-PI Budget (1)'!C32+'Co-PI Budget (2)'!C34+'Co-PI Budget (3)'!C34+'Co-PI Budget (4)'!C34+'Co-PI Budget (5)'!C34</f>
        <v>0</v>
      </c>
      <c r="D63" s="359">
        <f>+'Lead Budget'!D32+'Co-PI Budget (1)'!D32+'Co-PI Budget (2)'!D34+'Co-PI Budget (3)'!D34+'Co-PI Budget (4)'!D34+'Co-PI Budget (5)'!D34</f>
        <v>0</v>
      </c>
      <c r="E63" s="359">
        <f>+'Lead Budget'!E32+'Co-PI Budget (1)'!E32+'Co-PI Budget (2)'!E34+'Co-PI Budget (3)'!E34+'Co-PI Budget (4)'!E34+'Co-PI Budget (5)'!E34</f>
        <v>0</v>
      </c>
      <c r="F63" s="359">
        <f>+'Lead Budget'!F32+'Co-PI Budget (1)'!F32+'Co-PI Budget (2)'!F34+'Co-PI Budget (3)'!F34+'Co-PI Budget (4)'!F34+'Co-PI Budget (5)'!F34</f>
        <v>0</v>
      </c>
      <c r="G63" s="359">
        <f>+'Lead Budget'!G32+'Co-PI Budget (1)'!G32+'Co-PI Budget (2)'!G34+'Co-PI Budget (3)'!G34+'Co-PI Budget (4)'!G34+'Co-PI Budget (5)'!G34</f>
        <v>0</v>
      </c>
      <c r="H63" s="359">
        <f>+'Lead Budget'!H32+'Co-PI Budget (1)'!H32+'Co-PI Budget (2)'!H34+'Co-PI Budget (3)'!H34+'Co-PI Budget (4)'!H34+'Co-PI Budget (5)'!H34</f>
        <v>0</v>
      </c>
      <c r="I63" s="359">
        <f>+'Lead Budget'!I32+'Co-PI Budget (1)'!I32+'Co-PI Budget (2)'!I34+'Co-PI Budget (3)'!I34+'Co-PI Budget (4)'!I34+'Co-PI Budget (5)'!I34</f>
        <v>0</v>
      </c>
      <c r="J63" s="359">
        <f>+'Lead Budget'!J32+'Co-PI Budget (1)'!J32+'Co-PI Budget (2)'!J34+'Co-PI Budget (3)'!J34+'Co-PI Budget (4)'!J34+'Co-PI Budget (5)'!J34</f>
        <v>0</v>
      </c>
      <c r="K63" s="359">
        <f>+'Lead Budget'!K32+'Co-PI Budget (1)'!K32+'Co-PI Budget (2)'!K34+'Co-PI Budget (3)'!K34+'Co-PI Budget (4)'!K34+'Co-PI Budget (5)'!K34</f>
        <v>0</v>
      </c>
      <c r="L63" s="360">
        <f>SUM(B63:K63)</f>
        <v>0</v>
      </c>
      <c r="M63" s="384"/>
    </row>
    <row r="64" spans="1:20" x14ac:dyDescent="0.2">
      <c r="A64" s="3" t="s">
        <v>11</v>
      </c>
      <c r="B64" s="359">
        <f>+'Lead Budget'!B33+'Co-PI Budget (1)'!B33+'Co-PI Budget (2)'!B35+'Co-PI Budget (3)'!B35+'Co-PI Budget (4)'!B35+'Co-PI Budget (5)'!B35</f>
        <v>0</v>
      </c>
      <c r="C64" s="359">
        <f>+'Lead Budget'!C33+'Co-PI Budget (1)'!C33+'Co-PI Budget (2)'!C35+'Co-PI Budget (3)'!C35+'Co-PI Budget (4)'!C35+'Co-PI Budget (5)'!C35</f>
        <v>0</v>
      </c>
      <c r="D64" s="359">
        <f>+'Lead Budget'!D33+'Co-PI Budget (1)'!D33+'Co-PI Budget (2)'!D35+'Co-PI Budget (3)'!D35+'Co-PI Budget (4)'!D35+'Co-PI Budget (5)'!D35</f>
        <v>0</v>
      </c>
      <c r="E64" s="359">
        <f>+'Lead Budget'!E33+'Co-PI Budget (1)'!E33+'Co-PI Budget (2)'!E35+'Co-PI Budget (3)'!E35+'Co-PI Budget (4)'!E35+'Co-PI Budget (5)'!E35</f>
        <v>0</v>
      </c>
      <c r="F64" s="359">
        <f>+'Lead Budget'!F33+'Co-PI Budget (1)'!F33+'Co-PI Budget (2)'!F35+'Co-PI Budget (3)'!F35+'Co-PI Budget (4)'!F35+'Co-PI Budget (5)'!F35</f>
        <v>0</v>
      </c>
      <c r="G64" s="359">
        <f>+'Lead Budget'!G33+'Co-PI Budget (1)'!G33+'Co-PI Budget (2)'!G35+'Co-PI Budget (3)'!G35+'Co-PI Budget (4)'!G35+'Co-PI Budget (5)'!G35</f>
        <v>0</v>
      </c>
      <c r="H64" s="359">
        <f>+'Lead Budget'!H33+'Co-PI Budget (1)'!H33+'Co-PI Budget (2)'!H35+'Co-PI Budget (3)'!H35+'Co-PI Budget (4)'!H35+'Co-PI Budget (5)'!H35</f>
        <v>0</v>
      </c>
      <c r="I64" s="359">
        <f>+'Lead Budget'!I33+'Co-PI Budget (1)'!I33+'Co-PI Budget (2)'!I35+'Co-PI Budget (3)'!I35+'Co-PI Budget (4)'!I35+'Co-PI Budget (5)'!I35</f>
        <v>0</v>
      </c>
      <c r="J64" s="359">
        <f>+'Lead Budget'!J33+'Co-PI Budget (1)'!J33+'Co-PI Budget (2)'!J35+'Co-PI Budget (3)'!J35+'Co-PI Budget (4)'!J35+'Co-PI Budget (5)'!J35</f>
        <v>0</v>
      </c>
      <c r="K64" s="359">
        <f>+'Lead Budget'!K33+'Co-PI Budget (1)'!K33+'Co-PI Budget (2)'!K35+'Co-PI Budget (3)'!K35+'Co-PI Budget (4)'!K35+'Co-PI Budget (5)'!K35</f>
        <v>0</v>
      </c>
      <c r="L64" s="360">
        <f>SUM(B64:K64)</f>
        <v>0</v>
      </c>
      <c r="M64" s="384"/>
    </row>
    <row r="65" spans="1:16" ht="10.5" thickBot="1" x14ac:dyDescent="0.25">
      <c r="A65" s="76" t="str">
        <f>CONCATENATE("Total ",A62)</f>
        <v>Total Travel</v>
      </c>
      <c r="B65" s="361">
        <f>SUM(B62:B64)</f>
        <v>0</v>
      </c>
      <c r="C65" s="361">
        <f t="shared" ref="C65:L65" si="27">SUM(C62:C64)</f>
        <v>0</v>
      </c>
      <c r="D65" s="361">
        <f t="shared" si="27"/>
        <v>0</v>
      </c>
      <c r="E65" s="361">
        <f t="shared" si="27"/>
        <v>0</v>
      </c>
      <c r="F65" s="361">
        <f t="shared" si="27"/>
        <v>0</v>
      </c>
      <c r="G65" s="361">
        <f t="shared" ref="G65:K65" si="28">SUM(G62:G64)</f>
        <v>0</v>
      </c>
      <c r="H65" s="361">
        <f t="shared" si="28"/>
        <v>0</v>
      </c>
      <c r="I65" s="361">
        <f t="shared" si="28"/>
        <v>0</v>
      </c>
      <c r="J65" s="361">
        <f t="shared" si="28"/>
        <v>0</v>
      </c>
      <c r="K65" s="361">
        <f t="shared" si="28"/>
        <v>0</v>
      </c>
      <c r="L65" s="362">
        <f t="shared" si="27"/>
        <v>0</v>
      </c>
      <c r="M65" s="384"/>
    </row>
    <row r="66" spans="1:16" ht="10.5" x14ac:dyDescent="0.25">
      <c r="A66" s="77" t="s">
        <v>27</v>
      </c>
      <c r="B66" s="359"/>
      <c r="C66" s="359"/>
      <c r="D66" s="359"/>
      <c r="E66" s="359"/>
      <c r="F66" s="359"/>
      <c r="G66" s="359"/>
      <c r="H66" s="359"/>
      <c r="I66" s="359"/>
      <c r="J66" s="359"/>
      <c r="K66" s="359"/>
      <c r="L66" s="360"/>
      <c r="M66" s="384"/>
    </row>
    <row r="67" spans="1:16" x14ac:dyDescent="0.2">
      <c r="A67" s="3" t="str">
        <f>+'Lead Budget'!A36</f>
        <v>Tuition/Fees/Health Insurance</v>
      </c>
      <c r="B67" s="359">
        <f>+'Lead Budget'!B36+'Co-PI Budget (1)'!B36+'Co-PI Budget (2)'!B38+'Co-PI Budget (3)'!B38+'Co-PI Budget (4)'!B38+'Co-PI Budget (5)'!B38</f>
        <v>0</v>
      </c>
      <c r="C67" s="359">
        <f>+'Lead Budget'!C36+'Co-PI Budget (1)'!C36+'Co-PI Budget (2)'!C38+'Co-PI Budget (3)'!C38+'Co-PI Budget (4)'!C38+'Co-PI Budget (5)'!C38</f>
        <v>0</v>
      </c>
      <c r="D67" s="359">
        <f>+'Lead Budget'!D36+'Co-PI Budget (1)'!D36+'Co-PI Budget (2)'!D38+'Co-PI Budget (3)'!D38+'Co-PI Budget (4)'!D38+'Co-PI Budget (5)'!D38</f>
        <v>0</v>
      </c>
      <c r="E67" s="359">
        <f>+'Lead Budget'!E36+'Co-PI Budget (1)'!E36+'Co-PI Budget (2)'!E38+'Co-PI Budget (3)'!E38+'Co-PI Budget (4)'!E38+'Co-PI Budget (5)'!E38</f>
        <v>0</v>
      </c>
      <c r="F67" s="359">
        <f>+'Lead Budget'!F36+'Co-PI Budget (1)'!F36+'Co-PI Budget (2)'!F38+'Co-PI Budget (3)'!F38+'Co-PI Budget (4)'!F38+'Co-PI Budget (5)'!F38</f>
        <v>0</v>
      </c>
      <c r="G67" s="359">
        <f>+'Lead Budget'!G36+'Co-PI Budget (1)'!G36+'Co-PI Budget (2)'!G38+'Co-PI Budget (3)'!G38+'Co-PI Budget (4)'!G38+'Co-PI Budget (5)'!G38</f>
        <v>0</v>
      </c>
      <c r="H67" s="359">
        <f>+'Lead Budget'!H36+'Co-PI Budget (1)'!H36+'Co-PI Budget (2)'!H38+'Co-PI Budget (3)'!H38+'Co-PI Budget (4)'!H38+'Co-PI Budget (5)'!H38</f>
        <v>0</v>
      </c>
      <c r="I67" s="359">
        <f>+'Lead Budget'!I36+'Co-PI Budget (1)'!I36+'Co-PI Budget (2)'!I38+'Co-PI Budget (3)'!I38+'Co-PI Budget (4)'!I38+'Co-PI Budget (5)'!I38</f>
        <v>0</v>
      </c>
      <c r="J67" s="359">
        <f>+'Lead Budget'!J36+'Co-PI Budget (1)'!J36+'Co-PI Budget (2)'!J38+'Co-PI Budget (3)'!J38+'Co-PI Budget (4)'!J38+'Co-PI Budget (5)'!J38</f>
        <v>0</v>
      </c>
      <c r="K67" s="359">
        <f>+'Lead Budget'!K36+'Co-PI Budget (1)'!K36+'Co-PI Budget (2)'!K38+'Co-PI Budget (3)'!K38+'Co-PI Budget (4)'!K38+'Co-PI Budget (5)'!K38</f>
        <v>0</v>
      </c>
      <c r="L67" s="360">
        <f>SUM(B67:K67)</f>
        <v>0</v>
      </c>
      <c r="M67" s="384"/>
    </row>
    <row r="68" spans="1:16" x14ac:dyDescent="0.2">
      <c r="A68" s="3" t="str">
        <f>+'Lead Budget'!A37</f>
        <v>Stipends</v>
      </c>
      <c r="B68" s="359">
        <f>+'Lead Budget'!B37+'Co-PI Budget (1)'!B37+'Co-PI Budget (2)'!B39+'Co-PI Budget (3)'!B39+'Co-PI Budget (4)'!B39+'Co-PI Budget (5)'!B39</f>
        <v>0</v>
      </c>
      <c r="C68" s="359">
        <f>+'Lead Budget'!C37+'Co-PI Budget (1)'!C37+'Co-PI Budget (2)'!C39+'Co-PI Budget (3)'!C39+'Co-PI Budget (4)'!C39+'Co-PI Budget (5)'!C39</f>
        <v>0</v>
      </c>
      <c r="D68" s="359">
        <f>+'Lead Budget'!D37+'Co-PI Budget (1)'!D37+'Co-PI Budget (2)'!D39+'Co-PI Budget (3)'!D39+'Co-PI Budget (4)'!D39+'Co-PI Budget (5)'!D39</f>
        <v>0</v>
      </c>
      <c r="E68" s="359">
        <f>+'Lead Budget'!E37+'Co-PI Budget (1)'!E37+'Co-PI Budget (2)'!E39+'Co-PI Budget (3)'!E39+'Co-PI Budget (4)'!E39+'Co-PI Budget (5)'!E39</f>
        <v>0</v>
      </c>
      <c r="F68" s="359">
        <f>+'Lead Budget'!F37+'Co-PI Budget (1)'!F37+'Co-PI Budget (2)'!F39+'Co-PI Budget (3)'!F39+'Co-PI Budget (4)'!F39+'Co-PI Budget (5)'!F39</f>
        <v>0</v>
      </c>
      <c r="G68" s="359">
        <f>+'Lead Budget'!G37+'Co-PI Budget (1)'!G37+'Co-PI Budget (2)'!G39+'Co-PI Budget (3)'!G39+'Co-PI Budget (4)'!G39+'Co-PI Budget (5)'!G39</f>
        <v>0</v>
      </c>
      <c r="H68" s="359">
        <f>+'Lead Budget'!H37+'Co-PI Budget (1)'!H37+'Co-PI Budget (2)'!H39+'Co-PI Budget (3)'!H39+'Co-PI Budget (4)'!H39+'Co-PI Budget (5)'!H39</f>
        <v>0</v>
      </c>
      <c r="I68" s="359">
        <f>+'Lead Budget'!I37+'Co-PI Budget (1)'!I37+'Co-PI Budget (2)'!I39+'Co-PI Budget (3)'!I39+'Co-PI Budget (4)'!I39+'Co-PI Budget (5)'!I39</f>
        <v>0</v>
      </c>
      <c r="J68" s="359">
        <f>+'Lead Budget'!J37+'Co-PI Budget (1)'!J37+'Co-PI Budget (2)'!J39+'Co-PI Budget (3)'!J39+'Co-PI Budget (4)'!J39+'Co-PI Budget (5)'!J39</f>
        <v>0</v>
      </c>
      <c r="K68" s="359">
        <f>+'Lead Budget'!K37+'Co-PI Budget (1)'!K37+'Co-PI Budget (2)'!K39+'Co-PI Budget (3)'!K39+'Co-PI Budget (4)'!K39+'Co-PI Budget (5)'!K39</f>
        <v>0</v>
      </c>
      <c r="L68" s="360">
        <f t="shared" ref="L68:L71" si="29">SUM(B68:K68)</f>
        <v>0</v>
      </c>
      <c r="M68" s="384"/>
    </row>
    <row r="69" spans="1:16" x14ac:dyDescent="0.2">
      <c r="A69" s="3" t="str">
        <f>+'Lead Budget'!A38</f>
        <v>Travel</v>
      </c>
      <c r="B69" s="359">
        <f>+'Lead Budget'!B38+'Co-PI Budget (1)'!B38+'Co-PI Budget (2)'!B40+'Co-PI Budget (3)'!B40+'Co-PI Budget (4)'!B40+'Co-PI Budget (5)'!B40</f>
        <v>0</v>
      </c>
      <c r="C69" s="359">
        <f>+'Lead Budget'!C38+'Co-PI Budget (1)'!C38+'Co-PI Budget (2)'!C40+'Co-PI Budget (3)'!C40+'Co-PI Budget (4)'!C40+'Co-PI Budget (5)'!C40</f>
        <v>0</v>
      </c>
      <c r="D69" s="359">
        <f>+'Lead Budget'!D38+'Co-PI Budget (1)'!D38+'Co-PI Budget (2)'!D40+'Co-PI Budget (3)'!D40+'Co-PI Budget (4)'!D40+'Co-PI Budget (5)'!D40</f>
        <v>0</v>
      </c>
      <c r="E69" s="359">
        <f>+'Lead Budget'!E38+'Co-PI Budget (1)'!E38+'Co-PI Budget (2)'!E40+'Co-PI Budget (3)'!E40+'Co-PI Budget (4)'!E40+'Co-PI Budget (5)'!E40</f>
        <v>0</v>
      </c>
      <c r="F69" s="359">
        <f>+'Lead Budget'!F38+'Co-PI Budget (1)'!F38+'Co-PI Budget (2)'!F40+'Co-PI Budget (3)'!F40+'Co-PI Budget (4)'!F40+'Co-PI Budget (5)'!F40</f>
        <v>0</v>
      </c>
      <c r="G69" s="359">
        <f>+'Lead Budget'!G38+'Co-PI Budget (1)'!G38+'Co-PI Budget (2)'!G40+'Co-PI Budget (3)'!G40+'Co-PI Budget (4)'!G40+'Co-PI Budget (5)'!G40</f>
        <v>0</v>
      </c>
      <c r="H69" s="359">
        <f>+'Lead Budget'!H38+'Co-PI Budget (1)'!H38+'Co-PI Budget (2)'!H40+'Co-PI Budget (3)'!H40+'Co-PI Budget (4)'!H40+'Co-PI Budget (5)'!H40</f>
        <v>0</v>
      </c>
      <c r="I69" s="359">
        <f>+'Lead Budget'!I38+'Co-PI Budget (1)'!I38+'Co-PI Budget (2)'!I40+'Co-PI Budget (3)'!I40+'Co-PI Budget (4)'!I40+'Co-PI Budget (5)'!I40</f>
        <v>0</v>
      </c>
      <c r="J69" s="359">
        <f>+'Lead Budget'!J38+'Co-PI Budget (1)'!J38+'Co-PI Budget (2)'!J40+'Co-PI Budget (3)'!J40+'Co-PI Budget (4)'!J40+'Co-PI Budget (5)'!J40</f>
        <v>0</v>
      </c>
      <c r="K69" s="359">
        <f>+'Lead Budget'!K38+'Co-PI Budget (1)'!K38+'Co-PI Budget (2)'!K40+'Co-PI Budget (3)'!K40+'Co-PI Budget (4)'!K40+'Co-PI Budget (5)'!K40</f>
        <v>0</v>
      </c>
      <c r="L69" s="360">
        <f t="shared" si="29"/>
        <v>0</v>
      </c>
      <c r="M69" s="384"/>
    </row>
    <row r="70" spans="1:16" x14ac:dyDescent="0.2">
      <c r="A70" s="3" t="str">
        <f>+'Lead Budget'!A39</f>
        <v>Subsistence</v>
      </c>
      <c r="B70" s="359">
        <f>+'Lead Budget'!B39+'Co-PI Budget (1)'!B39+'Co-PI Budget (2)'!B41+'Co-PI Budget (3)'!B41+'Co-PI Budget (4)'!B41+'Co-PI Budget (5)'!B41</f>
        <v>0</v>
      </c>
      <c r="C70" s="359">
        <f>+'Lead Budget'!C39+'Co-PI Budget (1)'!C39+'Co-PI Budget (2)'!C41+'Co-PI Budget (3)'!C41+'Co-PI Budget (4)'!C41+'Co-PI Budget (5)'!C41</f>
        <v>0</v>
      </c>
      <c r="D70" s="359">
        <f>+'Lead Budget'!D39+'Co-PI Budget (1)'!D39+'Co-PI Budget (2)'!D41+'Co-PI Budget (3)'!D41+'Co-PI Budget (4)'!D41+'Co-PI Budget (5)'!D41</f>
        <v>0</v>
      </c>
      <c r="E70" s="359">
        <f>+'Lead Budget'!E39+'Co-PI Budget (1)'!E39+'Co-PI Budget (2)'!E41+'Co-PI Budget (3)'!E41+'Co-PI Budget (4)'!E41+'Co-PI Budget (5)'!E41</f>
        <v>0</v>
      </c>
      <c r="F70" s="359">
        <f>+'Lead Budget'!F39+'Co-PI Budget (1)'!F39+'Co-PI Budget (2)'!F41+'Co-PI Budget (3)'!F41+'Co-PI Budget (4)'!F41+'Co-PI Budget (5)'!F41</f>
        <v>0</v>
      </c>
      <c r="G70" s="359">
        <f>+'Lead Budget'!G39+'Co-PI Budget (1)'!G39+'Co-PI Budget (2)'!G41+'Co-PI Budget (3)'!G41+'Co-PI Budget (4)'!G41+'Co-PI Budget (5)'!G41</f>
        <v>0</v>
      </c>
      <c r="H70" s="359">
        <f>+'Lead Budget'!H39+'Co-PI Budget (1)'!H39+'Co-PI Budget (2)'!H41+'Co-PI Budget (3)'!H41+'Co-PI Budget (4)'!H41+'Co-PI Budget (5)'!H41</f>
        <v>0</v>
      </c>
      <c r="I70" s="359">
        <f>+'Lead Budget'!I39+'Co-PI Budget (1)'!I39+'Co-PI Budget (2)'!I41+'Co-PI Budget (3)'!I41+'Co-PI Budget (4)'!I41+'Co-PI Budget (5)'!I41</f>
        <v>0</v>
      </c>
      <c r="J70" s="359">
        <f>+'Lead Budget'!J39+'Co-PI Budget (1)'!J39+'Co-PI Budget (2)'!J41+'Co-PI Budget (3)'!J41+'Co-PI Budget (4)'!J41+'Co-PI Budget (5)'!J41</f>
        <v>0</v>
      </c>
      <c r="K70" s="359">
        <f>+'Lead Budget'!K39+'Co-PI Budget (1)'!K39+'Co-PI Budget (2)'!K41+'Co-PI Budget (3)'!K41+'Co-PI Budget (4)'!K41+'Co-PI Budget (5)'!K41</f>
        <v>0</v>
      </c>
      <c r="L70" s="360">
        <f t="shared" si="29"/>
        <v>0</v>
      </c>
      <c r="M70" s="384"/>
      <c r="P70" s="341"/>
    </row>
    <row r="71" spans="1:16" x14ac:dyDescent="0.2">
      <c r="A71" s="3" t="str">
        <f>+'Lead Budget'!A40</f>
        <v>Other</v>
      </c>
      <c r="B71" s="359">
        <f>+'Lead Budget'!B40+'Co-PI Budget (1)'!B40+'Co-PI Budget (2)'!B42+'Co-PI Budget (3)'!B42+'Co-PI Budget (4)'!B42+'Co-PI Budget (5)'!B42</f>
        <v>0</v>
      </c>
      <c r="C71" s="359">
        <f>+'Lead Budget'!C40+'Co-PI Budget (1)'!C40+'Co-PI Budget (2)'!C42+'Co-PI Budget (3)'!C42+'Co-PI Budget (4)'!C42+'Co-PI Budget (5)'!C42</f>
        <v>0</v>
      </c>
      <c r="D71" s="359">
        <f>+'Lead Budget'!D40+'Co-PI Budget (1)'!D40+'Co-PI Budget (2)'!D42+'Co-PI Budget (3)'!D42+'Co-PI Budget (4)'!D42+'Co-PI Budget (5)'!D42</f>
        <v>0</v>
      </c>
      <c r="E71" s="359">
        <f>+'Lead Budget'!E40+'Co-PI Budget (1)'!E40+'Co-PI Budget (2)'!E42+'Co-PI Budget (3)'!E42+'Co-PI Budget (4)'!E42+'Co-PI Budget (5)'!E42</f>
        <v>0</v>
      </c>
      <c r="F71" s="359">
        <f>+'Lead Budget'!F40+'Co-PI Budget (1)'!F40+'Co-PI Budget (2)'!F42+'Co-PI Budget (3)'!F42+'Co-PI Budget (4)'!F42+'Co-PI Budget (5)'!F42</f>
        <v>0</v>
      </c>
      <c r="G71" s="359">
        <f>+'Lead Budget'!G40+'Co-PI Budget (1)'!G40+'Co-PI Budget (2)'!G42+'Co-PI Budget (3)'!G42+'Co-PI Budget (4)'!G42+'Co-PI Budget (5)'!G42</f>
        <v>0</v>
      </c>
      <c r="H71" s="359">
        <f>+'Lead Budget'!H40+'Co-PI Budget (1)'!H40+'Co-PI Budget (2)'!H42+'Co-PI Budget (3)'!H42+'Co-PI Budget (4)'!H42+'Co-PI Budget (5)'!H42</f>
        <v>0</v>
      </c>
      <c r="I71" s="359">
        <f>+'Lead Budget'!I40+'Co-PI Budget (1)'!I40+'Co-PI Budget (2)'!I42+'Co-PI Budget (3)'!I42+'Co-PI Budget (4)'!I42+'Co-PI Budget (5)'!I42</f>
        <v>0</v>
      </c>
      <c r="J71" s="359">
        <f>+'Lead Budget'!J40+'Co-PI Budget (1)'!J40+'Co-PI Budget (2)'!J42+'Co-PI Budget (3)'!J42+'Co-PI Budget (4)'!J42+'Co-PI Budget (5)'!J42</f>
        <v>0</v>
      </c>
      <c r="K71" s="359">
        <f>+'Lead Budget'!K40+'Co-PI Budget (1)'!K40+'Co-PI Budget (2)'!K42+'Co-PI Budget (3)'!K42+'Co-PI Budget (4)'!K42+'Co-PI Budget (5)'!K42</f>
        <v>0</v>
      </c>
      <c r="L71" s="360">
        <f t="shared" si="29"/>
        <v>0</v>
      </c>
      <c r="M71" s="384"/>
    </row>
    <row r="72" spans="1:16" ht="10.5" thickBot="1" x14ac:dyDescent="0.25">
      <c r="A72" s="76" t="str">
        <f>CONCATENATE("Total ",A66)</f>
        <v>Total Participant Support Costs</v>
      </c>
      <c r="B72" s="361">
        <f>SUM(B66:B71)</f>
        <v>0</v>
      </c>
      <c r="C72" s="361">
        <f t="shared" ref="C72:L72" si="30">SUM(C66:C71)</f>
        <v>0</v>
      </c>
      <c r="D72" s="361">
        <f t="shared" si="30"/>
        <v>0</v>
      </c>
      <c r="E72" s="361">
        <f t="shared" si="30"/>
        <v>0</v>
      </c>
      <c r="F72" s="361">
        <f t="shared" si="30"/>
        <v>0</v>
      </c>
      <c r="G72" s="361">
        <f t="shared" ref="G72:K72" si="31">SUM(G66:G71)</f>
        <v>0</v>
      </c>
      <c r="H72" s="361">
        <f t="shared" si="31"/>
        <v>0</v>
      </c>
      <c r="I72" s="361">
        <f t="shared" si="31"/>
        <v>0</v>
      </c>
      <c r="J72" s="361">
        <f t="shared" si="31"/>
        <v>0</v>
      </c>
      <c r="K72" s="361">
        <f t="shared" si="31"/>
        <v>0</v>
      </c>
      <c r="L72" s="362">
        <f t="shared" si="30"/>
        <v>0</v>
      </c>
      <c r="M72" s="384"/>
    </row>
    <row r="73" spans="1:16" ht="10.5" x14ac:dyDescent="0.25">
      <c r="A73" s="77" t="s">
        <v>13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60"/>
      <c r="M73" s="384"/>
      <c r="N73" s="350"/>
    </row>
    <row r="74" spans="1:16" x14ac:dyDescent="0.2">
      <c r="A74" s="3" t="s">
        <v>14</v>
      </c>
      <c r="B74" s="359">
        <f>+'Lead Budget'!B43+'Co-PI Budget (1)'!B43+'Co-PI Budget (2)'!B45+'Co-PI Budget (3)'!B45+'Co-PI Budget (4)'!B45+'Co-PI Budget (5)'!B45</f>
        <v>0</v>
      </c>
      <c r="C74" s="359">
        <f>+'Lead Budget'!C43+'Co-PI Budget (1)'!C43+'Co-PI Budget (2)'!C45+'Co-PI Budget (3)'!C45+'Co-PI Budget (4)'!C45+'Co-PI Budget (5)'!C45</f>
        <v>0</v>
      </c>
      <c r="D74" s="359">
        <f>+'Lead Budget'!D43+'Co-PI Budget (1)'!D43+'Co-PI Budget (2)'!D45+'Co-PI Budget (3)'!D45+'Co-PI Budget (4)'!D45+'Co-PI Budget (5)'!D45</f>
        <v>0</v>
      </c>
      <c r="E74" s="359">
        <f>+'Lead Budget'!E43+'Co-PI Budget (1)'!E43+'Co-PI Budget (2)'!E45+'Co-PI Budget (3)'!E45+'Co-PI Budget (4)'!E45+'Co-PI Budget (5)'!E45</f>
        <v>0</v>
      </c>
      <c r="F74" s="359">
        <f>+'Lead Budget'!F43+'Co-PI Budget (1)'!F43+'Co-PI Budget (2)'!F45+'Co-PI Budget (3)'!F45+'Co-PI Budget (4)'!F45+'Co-PI Budget (5)'!F45</f>
        <v>0</v>
      </c>
      <c r="G74" s="359">
        <f>+'Lead Budget'!G43+'Co-PI Budget (1)'!G43+'Co-PI Budget (2)'!G45+'Co-PI Budget (3)'!G45+'Co-PI Budget (4)'!G45+'Co-PI Budget (5)'!G45</f>
        <v>0</v>
      </c>
      <c r="H74" s="359">
        <f>+'Lead Budget'!H43+'Co-PI Budget (1)'!H43+'Co-PI Budget (2)'!H45+'Co-PI Budget (3)'!H45+'Co-PI Budget (4)'!H45+'Co-PI Budget (5)'!H45</f>
        <v>0</v>
      </c>
      <c r="I74" s="359">
        <f>+'Lead Budget'!I43+'Co-PI Budget (1)'!I43+'Co-PI Budget (2)'!I45+'Co-PI Budget (3)'!I45+'Co-PI Budget (4)'!I45+'Co-PI Budget (5)'!I45</f>
        <v>0</v>
      </c>
      <c r="J74" s="359">
        <f>+'Lead Budget'!J43+'Co-PI Budget (1)'!J43+'Co-PI Budget (2)'!J45+'Co-PI Budget (3)'!J45+'Co-PI Budget (4)'!J45+'Co-PI Budget (5)'!J45</f>
        <v>0</v>
      </c>
      <c r="K74" s="359">
        <f>+'Lead Budget'!K43+'Co-PI Budget (1)'!K43+'Co-PI Budget (2)'!K45+'Co-PI Budget (3)'!K45+'Co-PI Budget (4)'!K45+'Co-PI Budget (5)'!K45</f>
        <v>0</v>
      </c>
      <c r="L74" s="360">
        <f>SUM(B74:K74)</f>
        <v>0</v>
      </c>
      <c r="M74" s="384"/>
    </row>
    <row r="75" spans="1:16" x14ac:dyDescent="0.2">
      <c r="A75" s="3" t="s">
        <v>183</v>
      </c>
      <c r="B75" s="359">
        <f>+'Lead Budget'!B44+'Co-PI Budget (1)'!B44+'Co-PI Budget (2)'!B46+'Co-PI Budget (3)'!B46+'Co-PI Budget (4)'!B46+'Co-PI Budget (5)'!B46</f>
        <v>0</v>
      </c>
      <c r="C75" s="359">
        <f>+'Lead Budget'!C44+'Co-PI Budget (1)'!C44+'Co-PI Budget (2)'!C46+'Co-PI Budget (3)'!C46+'Co-PI Budget (4)'!C46+'Co-PI Budget (5)'!C46</f>
        <v>0</v>
      </c>
      <c r="D75" s="359">
        <f>+'Lead Budget'!D44+'Co-PI Budget (1)'!D44+'Co-PI Budget (2)'!D46+'Co-PI Budget (3)'!D46+'Co-PI Budget (4)'!D46+'Co-PI Budget (5)'!D46</f>
        <v>0</v>
      </c>
      <c r="E75" s="359">
        <f>+'Lead Budget'!E44+'Co-PI Budget (1)'!E44+'Co-PI Budget (2)'!E46+'Co-PI Budget (3)'!E46+'Co-PI Budget (4)'!E46+'Co-PI Budget (5)'!E46</f>
        <v>0</v>
      </c>
      <c r="F75" s="359">
        <f>+'Lead Budget'!F44+'Co-PI Budget (1)'!F44+'Co-PI Budget (2)'!F46+'Co-PI Budget (3)'!F46+'Co-PI Budget (4)'!F46+'Co-PI Budget (5)'!F46</f>
        <v>0</v>
      </c>
      <c r="G75" s="359">
        <f>+'Lead Budget'!G44+'Co-PI Budget (1)'!G44+'Co-PI Budget (2)'!G46+'Co-PI Budget (3)'!G46+'Co-PI Budget (4)'!G46+'Co-PI Budget (5)'!G46</f>
        <v>0</v>
      </c>
      <c r="H75" s="359">
        <f>+'Lead Budget'!H44+'Co-PI Budget (1)'!H44+'Co-PI Budget (2)'!H46+'Co-PI Budget (3)'!H46+'Co-PI Budget (4)'!H46+'Co-PI Budget (5)'!H46</f>
        <v>0</v>
      </c>
      <c r="I75" s="359">
        <f>+'Lead Budget'!I44+'Co-PI Budget (1)'!I44+'Co-PI Budget (2)'!I46+'Co-PI Budget (3)'!I46+'Co-PI Budget (4)'!I46+'Co-PI Budget (5)'!I46</f>
        <v>0</v>
      </c>
      <c r="J75" s="359">
        <f>+'Lead Budget'!J44+'Co-PI Budget (1)'!J44+'Co-PI Budget (2)'!J46+'Co-PI Budget (3)'!J46+'Co-PI Budget (4)'!J46+'Co-PI Budget (5)'!J46</f>
        <v>0</v>
      </c>
      <c r="K75" s="359">
        <f>+'Lead Budget'!K44+'Co-PI Budget (1)'!K44+'Co-PI Budget (2)'!K46+'Co-PI Budget (3)'!K46+'Co-PI Budget (4)'!K46+'Co-PI Budget (5)'!K46</f>
        <v>0</v>
      </c>
      <c r="L75" s="360">
        <f t="shared" ref="L75:L82" si="32">SUM(B75:K75)</f>
        <v>0</v>
      </c>
      <c r="M75" s="384"/>
    </row>
    <row r="76" spans="1:16" x14ac:dyDescent="0.2">
      <c r="A76" s="3" t="s">
        <v>15</v>
      </c>
      <c r="B76" s="359">
        <f>+'Lead Budget'!B45+'Co-PI Budget (1)'!B45+'Co-PI Budget (2)'!B47+'Co-PI Budget (3)'!B47+'Co-PI Budget (4)'!B47+'Co-PI Budget (5)'!B47</f>
        <v>0</v>
      </c>
      <c r="C76" s="359">
        <f>+'Lead Budget'!C45+'Co-PI Budget (1)'!C45+'Co-PI Budget (2)'!C47+'Co-PI Budget (3)'!C47+'Co-PI Budget (4)'!C47+'Co-PI Budget (5)'!C47</f>
        <v>0</v>
      </c>
      <c r="D76" s="359">
        <f>+'Lead Budget'!D45+'Co-PI Budget (1)'!D45+'Co-PI Budget (2)'!D47+'Co-PI Budget (3)'!D47+'Co-PI Budget (4)'!D47+'Co-PI Budget (5)'!D47</f>
        <v>0</v>
      </c>
      <c r="E76" s="359">
        <f>+'Lead Budget'!E45+'Co-PI Budget (1)'!E45+'Co-PI Budget (2)'!E47+'Co-PI Budget (3)'!E47+'Co-PI Budget (4)'!E47+'Co-PI Budget (5)'!E47</f>
        <v>0</v>
      </c>
      <c r="F76" s="359">
        <f>+'Lead Budget'!F45+'Co-PI Budget (1)'!F45+'Co-PI Budget (2)'!F47+'Co-PI Budget (3)'!F47+'Co-PI Budget (4)'!F47+'Co-PI Budget (5)'!F47</f>
        <v>0</v>
      </c>
      <c r="G76" s="359">
        <f>+'Lead Budget'!G45+'Co-PI Budget (1)'!G45+'Co-PI Budget (2)'!G47+'Co-PI Budget (3)'!G47+'Co-PI Budget (4)'!G47+'Co-PI Budget (5)'!G47</f>
        <v>0</v>
      </c>
      <c r="H76" s="359">
        <f>+'Lead Budget'!H45+'Co-PI Budget (1)'!H45+'Co-PI Budget (2)'!H47+'Co-PI Budget (3)'!H47+'Co-PI Budget (4)'!H47+'Co-PI Budget (5)'!H47</f>
        <v>0</v>
      </c>
      <c r="I76" s="359">
        <f>+'Lead Budget'!I45+'Co-PI Budget (1)'!I45+'Co-PI Budget (2)'!I47+'Co-PI Budget (3)'!I47+'Co-PI Budget (4)'!I47+'Co-PI Budget (5)'!I47</f>
        <v>0</v>
      </c>
      <c r="J76" s="359">
        <f>+'Lead Budget'!J45+'Co-PI Budget (1)'!J45+'Co-PI Budget (2)'!J47+'Co-PI Budget (3)'!J47+'Co-PI Budget (4)'!J47+'Co-PI Budget (5)'!J47</f>
        <v>0</v>
      </c>
      <c r="K76" s="359">
        <f>+'Lead Budget'!K45+'Co-PI Budget (1)'!K45+'Co-PI Budget (2)'!K47+'Co-PI Budget (3)'!K47+'Co-PI Budget (4)'!K47+'Co-PI Budget (5)'!K47</f>
        <v>0</v>
      </c>
      <c r="L76" s="360">
        <f t="shared" si="32"/>
        <v>0</v>
      </c>
      <c r="M76" s="384"/>
    </row>
    <row r="77" spans="1:16" x14ac:dyDescent="0.2">
      <c r="A77" s="3" t="s">
        <v>184</v>
      </c>
      <c r="B77" s="359">
        <f>+'Lead Budget'!B46+'Co-PI Budget (1)'!B46+'Co-PI Budget (2)'!B48+'Co-PI Budget (3)'!B48+'Co-PI Budget (4)'!B48+'Co-PI Budget (5)'!B48</f>
        <v>0</v>
      </c>
      <c r="C77" s="359">
        <f>+'Lead Budget'!C46+'Co-PI Budget (1)'!C46+'Co-PI Budget (2)'!C48+'Co-PI Budget (3)'!C48+'Co-PI Budget (4)'!C48+'Co-PI Budget (5)'!C48</f>
        <v>0</v>
      </c>
      <c r="D77" s="359">
        <f>+'Lead Budget'!D46+'Co-PI Budget (1)'!D46+'Co-PI Budget (2)'!D48+'Co-PI Budget (3)'!D48+'Co-PI Budget (4)'!D48+'Co-PI Budget (5)'!D48</f>
        <v>0</v>
      </c>
      <c r="E77" s="359">
        <f>+'Lead Budget'!E46+'Co-PI Budget (1)'!E46+'Co-PI Budget (2)'!E48+'Co-PI Budget (3)'!E48+'Co-PI Budget (4)'!E48+'Co-PI Budget (5)'!E48</f>
        <v>0</v>
      </c>
      <c r="F77" s="359">
        <f>+'Lead Budget'!F46+'Co-PI Budget (1)'!F46+'Co-PI Budget (2)'!F48+'Co-PI Budget (3)'!F48+'Co-PI Budget (4)'!F48+'Co-PI Budget (5)'!F48</f>
        <v>0</v>
      </c>
      <c r="G77" s="359">
        <f>+'Lead Budget'!G46+'Co-PI Budget (1)'!G46+'Co-PI Budget (2)'!G48+'Co-PI Budget (3)'!G48+'Co-PI Budget (4)'!G48+'Co-PI Budget (5)'!G48</f>
        <v>0</v>
      </c>
      <c r="H77" s="359">
        <f>+'Lead Budget'!H46+'Co-PI Budget (1)'!H46+'Co-PI Budget (2)'!H48+'Co-PI Budget (3)'!H48+'Co-PI Budget (4)'!H48+'Co-PI Budget (5)'!H48</f>
        <v>0</v>
      </c>
      <c r="I77" s="359">
        <f>+'Lead Budget'!I46+'Co-PI Budget (1)'!I46+'Co-PI Budget (2)'!I48+'Co-PI Budget (3)'!I48+'Co-PI Budget (4)'!I48+'Co-PI Budget (5)'!I48</f>
        <v>0</v>
      </c>
      <c r="J77" s="359">
        <f>+'Lead Budget'!J46+'Co-PI Budget (1)'!J46+'Co-PI Budget (2)'!J48+'Co-PI Budget (3)'!J48+'Co-PI Budget (4)'!J48+'Co-PI Budget (5)'!J48</f>
        <v>0</v>
      </c>
      <c r="K77" s="359">
        <f>+'Lead Budget'!K46+'Co-PI Budget (1)'!K46+'Co-PI Budget (2)'!K48+'Co-PI Budget (3)'!K48+'Co-PI Budget (4)'!K48+'Co-PI Budget (5)'!K48</f>
        <v>0</v>
      </c>
      <c r="L77" s="360">
        <f t="shared" si="32"/>
        <v>0</v>
      </c>
      <c r="M77" s="384"/>
    </row>
    <row r="78" spans="1:16" x14ac:dyDescent="0.2">
      <c r="A78" s="3" t="s">
        <v>41</v>
      </c>
      <c r="B78" s="359">
        <f>+'Lead Budget'!B47+'Co-PI Budget (1)'!B47+'Co-PI Budget (2)'!B49+'Co-PI Budget (3)'!B49+'Co-PI Budget (4)'!B49+'Co-PI Budget (5)'!B49</f>
        <v>0</v>
      </c>
      <c r="C78" s="359">
        <f>+'Lead Budget'!C47+'Co-PI Budget (1)'!C47+'Co-PI Budget (2)'!C49+'Co-PI Budget (3)'!C49+'Co-PI Budget (4)'!C49+'Co-PI Budget (5)'!C49</f>
        <v>0</v>
      </c>
      <c r="D78" s="359">
        <f>+'Lead Budget'!D47+'Co-PI Budget (1)'!D47+'Co-PI Budget (2)'!D49+'Co-PI Budget (3)'!D49+'Co-PI Budget (4)'!D49+'Co-PI Budget (5)'!D49</f>
        <v>0</v>
      </c>
      <c r="E78" s="359">
        <f>+'Lead Budget'!E47+'Co-PI Budget (1)'!E47+'Co-PI Budget (2)'!E49+'Co-PI Budget (3)'!E49+'Co-PI Budget (4)'!E49+'Co-PI Budget (5)'!E49</f>
        <v>0</v>
      </c>
      <c r="F78" s="359">
        <f>+'Lead Budget'!F47+'Co-PI Budget (1)'!F47+'Co-PI Budget (2)'!F49+'Co-PI Budget (3)'!F49+'Co-PI Budget (4)'!F49+'Co-PI Budget (5)'!F49</f>
        <v>0</v>
      </c>
      <c r="G78" s="359">
        <f>+'Lead Budget'!G47+'Co-PI Budget (1)'!G47+'Co-PI Budget (2)'!G49+'Co-PI Budget (3)'!G49+'Co-PI Budget (4)'!G49+'Co-PI Budget (5)'!G49</f>
        <v>0</v>
      </c>
      <c r="H78" s="359">
        <f>+'Lead Budget'!H47+'Co-PI Budget (1)'!H47+'Co-PI Budget (2)'!H49+'Co-PI Budget (3)'!H49+'Co-PI Budget (4)'!H49+'Co-PI Budget (5)'!H49</f>
        <v>0</v>
      </c>
      <c r="I78" s="359">
        <f>+'Lead Budget'!I47+'Co-PI Budget (1)'!I47+'Co-PI Budget (2)'!I49+'Co-PI Budget (3)'!I49+'Co-PI Budget (4)'!I49+'Co-PI Budget (5)'!I49</f>
        <v>0</v>
      </c>
      <c r="J78" s="359">
        <f>+'Lead Budget'!J47+'Co-PI Budget (1)'!J47+'Co-PI Budget (2)'!J49+'Co-PI Budget (3)'!J49+'Co-PI Budget (4)'!J49+'Co-PI Budget (5)'!J49</f>
        <v>0</v>
      </c>
      <c r="K78" s="359">
        <f>+'Lead Budget'!K47+'Co-PI Budget (1)'!K47+'Co-PI Budget (2)'!K49+'Co-PI Budget (3)'!K49+'Co-PI Budget (4)'!K49+'Co-PI Budget (5)'!K49</f>
        <v>0</v>
      </c>
      <c r="L78" s="360">
        <f t="shared" si="32"/>
        <v>0</v>
      </c>
      <c r="M78" s="384"/>
    </row>
    <row r="79" spans="1:16" x14ac:dyDescent="0.2">
      <c r="A79" s="3" t="s">
        <v>148</v>
      </c>
      <c r="B79" s="359">
        <f>'Lead Budget'!B48+'Co-PI Budget (1)'!B48+'Co-PI Budget (2)'!B50+'Co-PI Budget (3)'!B50+'Co-PI Budget (4)'!B50+'Co-PI Budget (5)'!B50</f>
        <v>0</v>
      </c>
      <c r="C79" s="359">
        <f>'Lead Budget'!C48+'Co-PI Budget (1)'!C48+'Co-PI Budget (2)'!C50+'Co-PI Budget (3)'!C50+'Co-PI Budget (4)'!C50+'Co-PI Budget (5)'!C50</f>
        <v>0</v>
      </c>
      <c r="D79" s="359">
        <f>'Lead Budget'!D48+'Co-PI Budget (1)'!D48+'Co-PI Budget (2)'!D50+'Co-PI Budget (3)'!D50+'Co-PI Budget (4)'!D50+'Co-PI Budget (5)'!D50</f>
        <v>0</v>
      </c>
      <c r="E79" s="359">
        <f>'Lead Budget'!E48+'Co-PI Budget (1)'!E48+'Co-PI Budget (2)'!E50+'Co-PI Budget (3)'!E50+'Co-PI Budget (4)'!E50+'Co-PI Budget (5)'!E50</f>
        <v>0</v>
      </c>
      <c r="F79" s="359">
        <f>'Lead Budget'!F48+'Co-PI Budget (1)'!F48+'Co-PI Budget (2)'!F50+'Co-PI Budget (3)'!F50+'Co-PI Budget (4)'!F50+'Co-PI Budget (5)'!F50</f>
        <v>0</v>
      </c>
      <c r="G79" s="359">
        <f>'Lead Budget'!G48+'Co-PI Budget (1)'!G48+'Co-PI Budget (2)'!G50+'Co-PI Budget (3)'!G50+'Co-PI Budget (4)'!G50+'Co-PI Budget (5)'!G50</f>
        <v>0</v>
      </c>
      <c r="H79" s="359">
        <f>'Lead Budget'!H48+'Co-PI Budget (1)'!H48+'Co-PI Budget (2)'!H50+'Co-PI Budget (3)'!H50+'Co-PI Budget (4)'!H50+'Co-PI Budget (5)'!H50</f>
        <v>0</v>
      </c>
      <c r="I79" s="359">
        <f>'Lead Budget'!I48+'Co-PI Budget (1)'!I48+'Co-PI Budget (2)'!I50+'Co-PI Budget (3)'!I50+'Co-PI Budget (4)'!I50+'Co-PI Budget (5)'!I50</f>
        <v>0</v>
      </c>
      <c r="J79" s="359">
        <f>'Lead Budget'!J48+'Co-PI Budget (1)'!J48+'Co-PI Budget (2)'!J50+'Co-PI Budget (3)'!J50+'Co-PI Budget (4)'!J50+'Co-PI Budget (5)'!J50</f>
        <v>0</v>
      </c>
      <c r="K79" s="359">
        <f>'Lead Budget'!K48+'Co-PI Budget (1)'!K48+'Co-PI Budget (2)'!K50+'Co-PI Budget (3)'!K50+'Co-PI Budget (4)'!K50+'Co-PI Budget (5)'!K50</f>
        <v>0</v>
      </c>
      <c r="L79" s="360">
        <f t="shared" si="32"/>
        <v>0</v>
      </c>
      <c r="M79" s="384"/>
    </row>
    <row r="80" spans="1:16" x14ac:dyDescent="0.2">
      <c r="A80" s="3" t="s">
        <v>147</v>
      </c>
      <c r="B80" s="359">
        <f>'Lead Budget'!B49+'Co-PI Budget (1)'!B49+'Co-PI Budget (2)'!B51+'Co-PI Budget (3)'!B51+'Co-PI Budget (4)'!B51+'Co-PI Budget (5)'!B51</f>
        <v>0</v>
      </c>
      <c r="C80" s="359">
        <f>'Lead Budget'!C49+'Co-PI Budget (1)'!C49+'Co-PI Budget (2)'!C51+'Co-PI Budget (3)'!C51+'Co-PI Budget (4)'!C51+'Co-PI Budget (5)'!C51</f>
        <v>0</v>
      </c>
      <c r="D80" s="359">
        <f>'Lead Budget'!D49+'Co-PI Budget (1)'!D49+'Co-PI Budget (2)'!D51+'Co-PI Budget (3)'!D51+'Co-PI Budget (4)'!D51+'Co-PI Budget (5)'!D51</f>
        <v>0</v>
      </c>
      <c r="E80" s="359">
        <f>'Lead Budget'!E49+'Co-PI Budget (1)'!E49+'Co-PI Budget (2)'!E51+'Co-PI Budget (3)'!E51+'Co-PI Budget (4)'!E51+'Co-PI Budget (5)'!E51</f>
        <v>0</v>
      </c>
      <c r="F80" s="359">
        <f>'Lead Budget'!F49+'Co-PI Budget (1)'!F49+'Co-PI Budget (2)'!F51+'Co-PI Budget (3)'!F51+'Co-PI Budget (4)'!F51+'Co-PI Budget (5)'!F51</f>
        <v>0</v>
      </c>
      <c r="G80" s="359">
        <f>'Lead Budget'!G49+'Co-PI Budget (1)'!G49+'Co-PI Budget (2)'!G51+'Co-PI Budget (3)'!G51+'Co-PI Budget (4)'!G51+'Co-PI Budget (5)'!G51</f>
        <v>0</v>
      </c>
      <c r="H80" s="359">
        <f>'Lead Budget'!H49+'Co-PI Budget (1)'!H49+'Co-PI Budget (2)'!H51+'Co-PI Budget (3)'!H51+'Co-PI Budget (4)'!H51+'Co-PI Budget (5)'!H51</f>
        <v>0</v>
      </c>
      <c r="I80" s="359">
        <f>'Lead Budget'!I49+'Co-PI Budget (1)'!I49+'Co-PI Budget (2)'!I51+'Co-PI Budget (3)'!I51+'Co-PI Budget (4)'!I51+'Co-PI Budget (5)'!I51</f>
        <v>0</v>
      </c>
      <c r="J80" s="359">
        <f>'Lead Budget'!J49+'Co-PI Budget (1)'!J49+'Co-PI Budget (2)'!J51+'Co-PI Budget (3)'!J51+'Co-PI Budget (4)'!J51+'Co-PI Budget (5)'!J51</f>
        <v>0</v>
      </c>
      <c r="K80" s="359">
        <f>'Lead Budget'!K49+'Co-PI Budget (1)'!K49+'Co-PI Budget (2)'!K51+'Co-PI Budget (3)'!K51+'Co-PI Budget (4)'!K51+'Co-PI Budget (5)'!K51</f>
        <v>0</v>
      </c>
      <c r="L80" s="360">
        <f t="shared" si="32"/>
        <v>0</v>
      </c>
      <c r="M80" s="384"/>
    </row>
    <row r="81" spans="1:16" x14ac:dyDescent="0.2">
      <c r="A81" s="3" t="s">
        <v>29</v>
      </c>
      <c r="B81" s="359">
        <f>+'Lead Budget'!B50+'Co-PI Budget (1)'!B50+'Co-PI Budget (2)'!B52+'Co-PI Budget (3)'!B52+'Co-PI Budget (4)'!B52+'Co-PI Budget (5)'!B52</f>
        <v>0</v>
      </c>
      <c r="C81" s="359">
        <f>+'Lead Budget'!C50+'Co-PI Budget (1)'!C50+'Co-PI Budget (2)'!C52+'Co-PI Budget (3)'!C52+'Co-PI Budget (4)'!C52+'Co-PI Budget (5)'!C52</f>
        <v>0</v>
      </c>
      <c r="D81" s="359">
        <f>+'Lead Budget'!D50+'Co-PI Budget (1)'!D50+'Co-PI Budget (2)'!D52+'Co-PI Budget (3)'!D52+'Co-PI Budget (4)'!D52+'Co-PI Budget (5)'!D52</f>
        <v>0</v>
      </c>
      <c r="E81" s="359">
        <f>+'Lead Budget'!E50+'Co-PI Budget (1)'!E50+'Co-PI Budget (2)'!E52+'Co-PI Budget (3)'!E52+'Co-PI Budget (4)'!E52+'Co-PI Budget (5)'!E52</f>
        <v>0</v>
      </c>
      <c r="F81" s="359">
        <f>+'Lead Budget'!F50+'Co-PI Budget (1)'!F50+'Co-PI Budget (2)'!F52+'Co-PI Budget (3)'!F52+'Co-PI Budget (4)'!F52+'Co-PI Budget (5)'!F52</f>
        <v>0</v>
      </c>
      <c r="G81" s="359">
        <f>+'Lead Budget'!G50+'Co-PI Budget (1)'!G50+'Co-PI Budget (2)'!G52+'Co-PI Budget (3)'!G52+'Co-PI Budget (4)'!G52+'Co-PI Budget (5)'!G52</f>
        <v>0</v>
      </c>
      <c r="H81" s="359">
        <f>+'Lead Budget'!H50+'Co-PI Budget (1)'!H50+'Co-PI Budget (2)'!H52+'Co-PI Budget (3)'!H52+'Co-PI Budget (4)'!H52+'Co-PI Budget (5)'!H52</f>
        <v>0</v>
      </c>
      <c r="I81" s="359">
        <f>+'Lead Budget'!I50+'Co-PI Budget (1)'!I50+'Co-PI Budget (2)'!I52+'Co-PI Budget (3)'!I52+'Co-PI Budget (4)'!I52+'Co-PI Budget (5)'!I52</f>
        <v>0</v>
      </c>
      <c r="J81" s="359">
        <f>+'Lead Budget'!J50+'Co-PI Budget (1)'!J50+'Co-PI Budget (2)'!J52+'Co-PI Budget (3)'!J52+'Co-PI Budget (4)'!J52+'Co-PI Budget (5)'!J52</f>
        <v>0</v>
      </c>
      <c r="K81" s="359">
        <f>+'Lead Budget'!K50+'Co-PI Budget (1)'!K50+'Co-PI Budget (2)'!K52+'Co-PI Budget (3)'!K52+'Co-PI Budget (4)'!K52+'Co-PI Budget (5)'!K52</f>
        <v>0</v>
      </c>
      <c r="L81" s="360">
        <f t="shared" si="32"/>
        <v>0</v>
      </c>
      <c r="M81" s="384"/>
    </row>
    <row r="82" spans="1:16" x14ac:dyDescent="0.2">
      <c r="A82" s="3" t="s">
        <v>29</v>
      </c>
      <c r="B82" s="359">
        <f>+'Lead Budget'!B51+'Co-PI Budget (1)'!B51+'Co-PI Budget (2)'!B53+'Co-PI Budget (3)'!B53+'Co-PI Budget (4)'!B53+'Co-PI Budget (5)'!B53</f>
        <v>0</v>
      </c>
      <c r="C82" s="359">
        <f>+'Lead Budget'!C51+'Co-PI Budget (1)'!C51+'Co-PI Budget (2)'!C53+'Co-PI Budget (3)'!C53+'Co-PI Budget (4)'!C53+'Co-PI Budget (5)'!C53</f>
        <v>0</v>
      </c>
      <c r="D82" s="359">
        <f>+'Lead Budget'!D51+'Co-PI Budget (1)'!D51+'Co-PI Budget (2)'!D53+'Co-PI Budget (3)'!D53+'Co-PI Budget (4)'!D53+'Co-PI Budget (5)'!D53</f>
        <v>0</v>
      </c>
      <c r="E82" s="359">
        <f>+'Lead Budget'!E51+'Co-PI Budget (1)'!E51+'Co-PI Budget (2)'!E53+'Co-PI Budget (3)'!E53+'Co-PI Budget (4)'!E53+'Co-PI Budget (5)'!E53</f>
        <v>0</v>
      </c>
      <c r="F82" s="359">
        <f>+'Lead Budget'!F51+'Co-PI Budget (1)'!F51+'Co-PI Budget (2)'!F53+'Co-PI Budget (3)'!F53+'Co-PI Budget (4)'!F53+'Co-PI Budget (5)'!F53</f>
        <v>0</v>
      </c>
      <c r="G82" s="359">
        <f>+'Lead Budget'!G51+'Co-PI Budget (1)'!G51+'Co-PI Budget (2)'!G53+'Co-PI Budget (3)'!G53+'Co-PI Budget (4)'!G53+'Co-PI Budget (5)'!G53</f>
        <v>0</v>
      </c>
      <c r="H82" s="359">
        <f>+'Lead Budget'!H51+'Co-PI Budget (1)'!H51+'Co-PI Budget (2)'!H53+'Co-PI Budget (3)'!H53+'Co-PI Budget (4)'!H53+'Co-PI Budget (5)'!H53</f>
        <v>0</v>
      </c>
      <c r="I82" s="359">
        <f>+'Lead Budget'!I51+'Co-PI Budget (1)'!I51+'Co-PI Budget (2)'!I53+'Co-PI Budget (3)'!I53+'Co-PI Budget (4)'!I53+'Co-PI Budget (5)'!I53</f>
        <v>0</v>
      </c>
      <c r="J82" s="359">
        <f>+'Lead Budget'!J51+'Co-PI Budget (1)'!J51+'Co-PI Budget (2)'!J53+'Co-PI Budget (3)'!J53+'Co-PI Budget (4)'!J53+'Co-PI Budget (5)'!J53</f>
        <v>0</v>
      </c>
      <c r="K82" s="359">
        <f>+'Lead Budget'!K51+'Co-PI Budget (1)'!K51+'Co-PI Budget (2)'!K53+'Co-PI Budget (3)'!K53+'Co-PI Budget (4)'!K53+'Co-PI Budget (5)'!K53</f>
        <v>0</v>
      </c>
      <c r="L82" s="360">
        <f t="shared" si="32"/>
        <v>0</v>
      </c>
      <c r="M82" s="384"/>
    </row>
    <row r="83" spans="1:16" ht="10.5" thickBot="1" x14ac:dyDescent="0.25">
      <c r="A83" s="76" t="str">
        <f>CONCATENATE("Total ",A73)</f>
        <v>Total Other Direct Costs</v>
      </c>
      <c r="B83" s="361">
        <f>SUM(B73:B82)</f>
        <v>0</v>
      </c>
      <c r="C83" s="361">
        <f t="shared" ref="C83:L83" si="33">SUM(C73:C82)</f>
        <v>0</v>
      </c>
      <c r="D83" s="361">
        <f t="shared" si="33"/>
        <v>0</v>
      </c>
      <c r="E83" s="361">
        <f t="shared" si="33"/>
        <v>0</v>
      </c>
      <c r="F83" s="361">
        <f t="shared" si="33"/>
        <v>0</v>
      </c>
      <c r="G83" s="361">
        <f t="shared" ref="G83:K83" si="34">SUM(G73:G82)</f>
        <v>0</v>
      </c>
      <c r="H83" s="361">
        <f t="shared" si="34"/>
        <v>0</v>
      </c>
      <c r="I83" s="361">
        <f t="shared" si="34"/>
        <v>0</v>
      </c>
      <c r="J83" s="361">
        <f t="shared" si="34"/>
        <v>0</v>
      </c>
      <c r="K83" s="361">
        <f t="shared" si="34"/>
        <v>0</v>
      </c>
      <c r="L83" s="362">
        <f t="shared" si="33"/>
        <v>0</v>
      </c>
      <c r="M83" s="384"/>
    </row>
    <row r="84" spans="1:16" ht="11" thickBot="1" x14ac:dyDescent="0.3">
      <c r="A84" s="367" t="s">
        <v>16</v>
      </c>
      <c r="B84" s="368">
        <f t="shared" ref="B84:L84" si="35">SUM(B26+B33+B57+B61+B65+B72+B83)</f>
        <v>0</v>
      </c>
      <c r="C84" s="369">
        <f t="shared" si="35"/>
        <v>0</v>
      </c>
      <c r="D84" s="369">
        <f t="shared" si="35"/>
        <v>0</v>
      </c>
      <c r="E84" s="369">
        <f t="shared" si="35"/>
        <v>0</v>
      </c>
      <c r="F84" s="369">
        <f t="shared" si="35"/>
        <v>0</v>
      </c>
      <c r="G84" s="369">
        <f t="shared" ref="G84:K84" si="36">SUM(G26+G33+G57+G61+G65+G72+G83)</f>
        <v>0</v>
      </c>
      <c r="H84" s="369">
        <f t="shared" si="36"/>
        <v>0</v>
      </c>
      <c r="I84" s="369">
        <f t="shared" si="36"/>
        <v>0</v>
      </c>
      <c r="J84" s="369">
        <f t="shared" si="36"/>
        <v>0</v>
      </c>
      <c r="K84" s="369">
        <f t="shared" si="36"/>
        <v>0</v>
      </c>
      <c r="L84" s="370">
        <f t="shared" si="35"/>
        <v>0</v>
      </c>
      <c r="M84" s="384"/>
    </row>
    <row r="85" spans="1:16" ht="11" thickBot="1" x14ac:dyDescent="0.3">
      <c r="A85" s="71" t="s">
        <v>139</v>
      </c>
      <c r="B85" s="371">
        <f>IF(AND('rates, dates, etc'!$B$25="Contract College",'rates, dates, etc'!$B$26="On"),'Lead Budget'!B54,0)+IF(AND('rates, dates, etc'!$B$106="Contract College",'rates, dates, etc'!$B$107="On"),'Co-PI Budget (1)'!B54,0)+IF(AND('rates, dates, etc'!$B$187="Contract College",'rates, dates, etc'!$B$188="On"),'Co-PI Budget (2)'!B56,0)+IF(AND('rates, dates, etc'!$B$268="Contract College",'rates, dates, etc'!$B$269="On"),'Co-PI Budget (3)'!B56,0)+IF(AND('rates, dates, etc'!$B$349="Contract College",'rates, dates, etc'!$B$350="On"),'Co-PI Budget (4)'!B56,0)+IF(AND('rates, dates, etc'!$B$430="Contract College",'rates, dates, etc'!$B$431="On"),'Co-PI Budget (5)'!B56,0)</f>
        <v>0</v>
      </c>
      <c r="C85" s="371">
        <f>IF(AND('rates, dates, etc'!$B$25="Contract College",'rates, dates, etc'!$B$26="On"),'Lead Budget'!C54,0)+IF(AND('rates, dates, etc'!$B$106="Contract College",'rates, dates, etc'!$B$107="On"),'Co-PI Budget (1)'!C54,0)+IF(AND('rates, dates, etc'!$B$187="Contract College",'rates, dates, etc'!$B$188="On"),'Co-PI Budget (2)'!C56,0)+IF(AND('rates, dates, etc'!$B$268="Contract College",'rates, dates, etc'!$B$269="On"),'Co-PI Budget (3)'!C56,0)+IF(AND('rates, dates, etc'!$B$349="Contract College",'rates, dates, etc'!$B$350="On"),'Co-PI Budget (4)'!C56,0)+IF(AND('rates, dates, etc'!$B$430="Contract College",'rates, dates, etc'!$B$431="On"),'Co-PI Budget (5)'!C56,0)</f>
        <v>0</v>
      </c>
      <c r="D85" s="371">
        <f>IF(AND('rates, dates, etc'!$B$25="Contract College",'rates, dates, etc'!$B$26="On"),'Lead Budget'!D54,0)+IF(AND('rates, dates, etc'!$B$106="Contract College",'rates, dates, etc'!$B$107="On"),'Co-PI Budget (1)'!D54,0)+IF(AND('rates, dates, etc'!$B$187="Contract College",'rates, dates, etc'!$B$188="On"),'Co-PI Budget (2)'!D56,0)+IF(AND('rates, dates, etc'!$B$268="Contract College",'rates, dates, etc'!$B$269="On"),'Co-PI Budget (3)'!D56,0)+IF(AND('rates, dates, etc'!$B$349="Contract College",'rates, dates, etc'!$B$350="On"),'Co-PI Budget (4)'!D56,0)+IF(AND('rates, dates, etc'!$B$430="Contract College",'rates, dates, etc'!$B$431="On"),'Co-PI Budget (5)'!D56,0)</f>
        <v>0</v>
      </c>
      <c r="E85" s="371">
        <f>IF(AND('rates, dates, etc'!$B$25="Contract College",'rates, dates, etc'!$B$26="On"),'Lead Budget'!E54,0)+IF(AND('rates, dates, etc'!$B$106="Contract College",'rates, dates, etc'!$B$107="On"),'Co-PI Budget (1)'!E54,0)+IF(AND('rates, dates, etc'!$B$187="Contract College",'rates, dates, etc'!$B$188="On"),'Co-PI Budget (2)'!E56,0)+IF(AND('rates, dates, etc'!$B$268="Contract College",'rates, dates, etc'!$B$269="On"),'Co-PI Budget (3)'!E56,0)+IF(AND('rates, dates, etc'!$B$349="Contract College",'rates, dates, etc'!$B$350="On"),'Co-PI Budget (4)'!E56,0)+IF(AND('rates, dates, etc'!$B$430="Contract College",'rates, dates, etc'!$B$431="On"),'Co-PI Budget (5)'!E56,0)</f>
        <v>0</v>
      </c>
      <c r="F85" s="371">
        <f>IF(AND('rates, dates, etc'!$B$25="Contract College",'rates, dates, etc'!$B$26="On"),'Lead Budget'!F54,0)+IF(AND('rates, dates, etc'!$B$106="Contract College",'rates, dates, etc'!$B$107="On"),'Co-PI Budget (1)'!F54,0)+IF(AND('rates, dates, etc'!$B$187="Contract College",'rates, dates, etc'!$B$188="On"),'Co-PI Budget (2)'!F56,0)+IF(AND('rates, dates, etc'!$B$268="Contract College",'rates, dates, etc'!$B$269="On"),'Co-PI Budget (3)'!F56,0)+IF(AND('rates, dates, etc'!$B$349="Contract College",'rates, dates, etc'!$B$350="On"),'Co-PI Budget (4)'!F56,0)+IF(AND('rates, dates, etc'!$B$430="Contract College",'rates, dates, etc'!$B$431="On"),'Co-PI Budget (5)'!F56,0)</f>
        <v>0</v>
      </c>
      <c r="G85" s="371">
        <f>IF(AND('rates, dates, etc'!$B$25="Contract College",'rates, dates, etc'!$B$26="On"),'Lead Budget'!G54,0)+IF(AND('rates, dates, etc'!$B$106="Contract College",'rates, dates, etc'!$B$107="On"),'Co-PI Budget (1)'!G54,0)+IF(AND('rates, dates, etc'!$B$187="Contract College",'rates, dates, etc'!$B$188="On"),'Co-PI Budget (2)'!G56,0)+IF(AND('rates, dates, etc'!$B$268="Contract College",'rates, dates, etc'!$B$269="On"),'Co-PI Budget (3)'!G56,0)+IF(AND('rates, dates, etc'!$B$349="Contract College",'rates, dates, etc'!$B$350="On"),'Co-PI Budget (4)'!G56,0)+IF(AND('rates, dates, etc'!$B$430="Contract College",'rates, dates, etc'!$B$431="On"),'Co-PI Budget (5)'!G56,0)</f>
        <v>0</v>
      </c>
      <c r="H85" s="371">
        <f>IF(AND('rates, dates, etc'!$B$25="Contract College",'rates, dates, etc'!$B$26="On"),'Lead Budget'!H54,0)+IF(AND('rates, dates, etc'!$B$106="Contract College",'rates, dates, etc'!$B$107="On"),'Co-PI Budget (1)'!H54,0)+IF(AND('rates, dates, etc'!$B$187="Contract College",'rates, dates, etc'!$B$188="On"),'Co-PI Budget (2)'!H56,0)+IF(AND('rates, dates, etc'!$B$268="Contract College",'rates, dates, etc'!$B$269="On"),'Co-PI Budget (3)'!H56,0)+IF(AND('rates, dates, etc'!$B$349="Contract College",'rates, dates, etc'!$B$350="On"),'Co-PI Budget (4)'!H56,0)+IF(AND('rates, dates, etc'!$B$430="Contract College",'rates, dates, etc'!$B$431="On"),'Co-PI Budget (5)'!H56,0)</f>
        <v>0</v>
      </c>
      <c r="I85" s="371">
        <f>IF(AND('rates, dates, etc'!$B$25="Contract College",'rates, dates, etc'!$B$26="On"),'Lead Budget'!I54,0)+IF(AND('rates, dates, etc'!$B$106="Contract College",'rates, dates, etc'!$B$107="On"),'Co-PI Budget (1)'!I54,0)+IF(AND('rates, dates, etc'!$B$187="Contract College",'rates, dates, etc'!$B$188="On"),'Co-PI Budget (2)'!I56,0)+IF(AND('rates, dates, etc'!$B$268="Contract College",'rates, dates, etc'!$B$269="On"),'Co-PI Budget (3)'!I56,0)+IF(AND('rates, dates, etc'!$B$349="Contract College",'rates, dates, etc'!$B$350="On"),'Co-PI Budget (4)'!I56,0)+IF(AND('rates, dates, etc'!$B$430="Contract College",'rates, dates, etc'!$B$431="On"),'Co-PI Budget (5)'!I56,0)</f>
        <v>0</v>
      </c>
      <c r="J85" s="371">
        <f>IF(AND('rates, dates, etc'!$B$25="Contract College",'rates, dates, etc'!$B$26="On"),'Lead Budget'!J54,0)+IF(AND('rates, dates, etc'!$B$106="Contract College",'rates, dates, etc'!$B$107="On"),'Co-PI Budget (1)'!J54,0)+IF(AND('rates, dates, etc'!$B$187="Contract College",'rates, dates, etc'!$B$188="On"),'Co-PI Budget (2)'!J56,0)+IF(AND('rates, dates, etc'!$B$268="Contract College",'rates, dates, etc'!$B$269="On"),'Co-PI Budget (3)'!J56,0)+IF(AND('rates, dates, etc'!$B$349="Contract College",'rates, dates, etc'!$B$350="On"),'Co-PI Budget (4)'!J56,0)+IF(AND('rates, dates, etc'!$B$430="Contract College",'rates, dates, etc'!$B$431="On"),'Co-PI Budget (5)'!J56,0)</f>
        <v>0</v>
      </c>
      <c r="K85" s="371">
        <f>IF(AND('rates, dates, etc'!$B$25="Contract College",'rates, dates, etc'!$B$26="On"),'Lead Budget'!K54,0)+IF(AND('rates, dates, etc'!$B$106="Contract College",'rates, dates, etc'!$B$107="On"),'Co-PI Budget (1)'!K54,0)+IF(AND('rates, dates, etc'!$B$187="Contract College",'rates, dates, etc'!$B$188="On"),'Co-PI Budget (2)'!K56,0)+IF(AND('rates, dates, etc'!$B$268="Contract College",'rates, dates, etc'!$B$269="On"),'Co-PI Budget (3)'!K56,0)+IF(AND('rates, dates, etc'!$B$349="Contract College",'rates, dates, etc'!$B$350="On"),'Co-PI Budget (4)'!K56,0)+IF(AND('rates, dates, etc'!$B$430="Contract College",'rates, dates, etc'!$B$431="On"),'Co-PI Budget (5)'!K56,0)</f>
        <v>0</v>
      </c>
      <c r="L85" s="372">
        <f t="shared" ref="L85:L91" si="37">SUM(B85:K85)</f>
        <v>0</v>
      </c>
      <c r="M85" s="384"/>
    </row>
    <row r="86" spans="1:16" ht="11" thickBot="1" x14ac:dyDescent="0.3">
      <c r="A86" s="71" t="s">
        <v>140</v>
      </c>
      <c r="B86" s="371">
        <f>IF(AND('rates, dates, etc'!$B$25="Contract College",'rates, dates, etc'!$B$26="Off"),'Lead Budget'!B54,0)+IF(AND('rates, dates, etc'!$B$106="Contract College",'rates, dates, etc'!$B$107="Off"),'Co-PI Budget (1)'!B54,0)+IF(AND('rates, dates, etc'!$B$187="Contract College",'rates, dates, etc'!$B$188="Off"),'Co-PI Budget (2)'!B56,0)+IF(AND('rates, dates, etc'!$B$268="Contract College",'rates, dates, etc'!$B$269="Off"),'Co-PI Budget (3)'!B56,0)+IF(AND('rates, dates, etc'!$B$349="Contract College",'rates, dates, etc'!$B$350="Off"),'Co-PI Budget (4)'!B56,0)+IF(AND('rates, dates, etc'!$B$430="Contract College",'rates, dates, etc'!$B$431="Off"),'Co-PI Budget (5)'!B56,0)</f>
        <v>0</v>
      </c>
      <c r="C86" s="371">
        <f>IF(AND('rates, dates, etc'!$B$25="Contract College",'rates, dates, etc'!$B$26="Off"),'Lead Budget'!C54,0)+IF(AND('rates, dates, etc'!$B$106="Contract College",'rates, dates, etc'!$B$107="Off"),'Co-PI Budget (1)'!C54,0)+IF(AND('rates, dates, etc'!$B$187="Contract College",'rates, dates, etc'!$B$188="Off"),'Co-PI Budget (2)'!C56,0)+IF(AND('rates, dates, etc'!$B$268="Contract College",'rates, dates, etc'!$B$269="Off"),'Co-PI Budget (3)'!C56,0)+IF(AND('rates, dates, etc'!$B$349="Contract College",'rates, dates, etc'!$B$350="Off"),'Co-PI Budget (4)'!C56,0)+IF(AND('rates, dates, etc'!$B$430="Contract College",'rates, dates, etc'!$B$431="Off"),'Co-PI Budget (5)'!C56,0)</f>
        <v>0</v>
      </c>
      <c r="D86" s="371">
        <f>IF(AND('rates, dates, etc'!$B$25="Contract College",'rates, dates, etc'!$B$26="Off"),'Lead Budget'!D54,0)+IF(AND('rates, dates, etc'!$B$106="Contract College",'rates, dates, etc'!$B$107="Off"),'Co-PI Budget (1)'!D54,0)+IF(AND('rates, dates, etc'!$B$187="Contract College",'rates, dates, etc'!$B$188="Off"),'Co-PI Budget (2)'!D56,0)+IF(AND('rates, dates, etc'!$B$268="Contract College",'rates, dates, etc'!$B$269="Off"),'Co-PI Budget (3)'!D56,0)+IF(AND('rates, dates, etc'!$B$349="Contract College",'rates, dates, etc'!$B$350="Off"),'Co-PI Budget (4)'!D56,0)+IF(AND('rates, dates, etc'!$B$430="Contract College",'rates, dates, etc'!$B$431="Off"),'Co-PI Budget (5)'!D56,0)</f>
        <v>0</v>
      </c>
      <c r="E86" s="371">
        <f>IF(AND('rates, dates, etc'!$B$25="Contract College",'rates, dates, etc'!$B$26="Off"),'Lead Budget'!E54,0)+IF(AND('rates, dates, etc'!$B$106="Contract College",'rates, dates, etc'!$B$107="Off"),'Co-PI Budget (1)'!E54,0)+IF(AND('rates, dates, etc'!$B$187="Contract College",'rates, dates, etc'!$B$188="Off"),'Co-PI Budget (2)'!E56,0)+IF(AND('rates, dates, etc'!$B$268="Contract College",'rates, dates, etc'!$B$269="Off"),'Co-PI Budget (3)'!E56,0)+IF(AND('rates, dates, etc'!$B$349="Contract College",'rates, dates, etc'!$B$350="Off"),'Co-PI Budget (4)'!E56,0)+IF(AND('rates, dates, etc'!$B$430="Contract College",'rates, dates, etc'!$B$431="Off"),'Co-PI Budget (5)'!E56,0)</f>
        <v>0</v>
      </c>
      <c r="F86" s="371">
        <f>IF(AND('rates, dates, etc'!$B$25="Contract College",'rates, dates, etc'!$B$26="Off"),'Lead Budget'!F54,0)+IF(AND('rates, dates, etc'!$B$106="Contract College",'rates, dates, etc'!$B$107="Off"),'Co-PI Budget (1)'!F54,0)+IF(AND('rates, dates, etc'!$B$187="Contract College",'rates, dates, etc'!$B$188="Off"),'Co-PI Budget (2)'!F56,0)+IF(AND('rates, dates, etc'!$B$268="Contract College",'rates, dates, etc'!$B$269="Off"),'Co-PI Budget (3)'!F56,0)+IF(AND('rates, dates, etc'!$B$349="Contract College",'rates, dates, etc'!$B$350="Off"),'Co-PI Budget (4)'!F56,0)+IF(AND('rates, dates, etc'!$B$430="Contract College",'rates, dates, etc'!$B$431="Off"),'Co-PI Budget (5)'!F56,0)</f>
        <v>0</v>
      </c>
      <c r="G86" s="371">
        <f>IF(AND('rates, dates, etc'!$B$25="Contract College",'rates, dates, etc'!$B$26="Off"),'Lead Budget'!G54,0)+IF(AND('rates, dates, etc'!$B$106="Contract College",'rates, dates, etc'!$B$107="Off"),'Co-PI Budget (1)'!G54,0)+IF(AND('rates, dates, etc'!$B$187="Contract College",'rates, dates, etc'!$B$188="Off"),'Co-PI Budget (2)'!G56,0)+IF(AND('rates, dates, etc'!$B$268="Contract College",'rates, dates, etc'!$B$269="Off"),'Co-PI Budget (3)'!G56,0)+IF(AND('rates, dates, etc'!$B$349="Contract College",'rates, dates, etc'!$B$350="Off"),'Co-PI Budget (4)'!G56,0)+IF(AND('rates, dates, etc'!$B$430="Contract College",'rates, dates, etc'!$B$431="Off"),'Co-PI Budget (5)'!G56,0)</f>
        <v>0</v>
      </c>
      <c r="H86" s="371">
        <f>IF(AND('rates, dates, etc'!$B$25="Contract College",'rates, dates, etc'!$B$26="Off"),'Lead Budget'!H54,0)+IF(AND('rates, dates, etc'!$B$106="Contract College",'rates, dates, etc'!$B$107="Off"),'Co-PI Budget (1)'!H54,0)+IF(AND('rates, dates, etc'!$B$187="Contract College",'rates, dates, etc'!$B$188="Off"),'Co-PI Budget (2)'!H56,0)+IF(AND('rates, dates, etc'!$B$268="Contract College",'rates, dates, etc'!$B$269="Off"),'Co-PI Budget (3)'!H56,0)+IF(AND('rates, dates, etc'!$B$349="Contract College",'rates, dates, etc'!$B$350="Off"),'Co-PI Budget (4)'!H56,0)+IF(AND('rates, dates, etc'!$B$430="Contract College",'rates, dates, etc'!$B$431="Off"),'Co-PI Budget (5)'!H56,0)</f>
        <v>0</v>
      </c>
      <c r="I86" s="371">
        <f>IF(AND('rates, dates, etc'!$B$25="Contract College",'rates, dates, etc'!$B$26="Off"),'Lead Budget'!I54,0)+IF(AND('rates, dates, etc'!$B$106="Contract College",'rates, dates, etc'!$B$107="Off"),'Co-PI Budget (1)'!I54,0)+IF(AND('rates, dates, etc'!$B$187="Contract College",'rates, dates, etc'!$B$188="Off"),'Co-PI Budget (2)'!I56,0)+IF(AND('rates, dates, etc'!$B$268="Contract College",'rates, dates, etc'!$B$269="Off"),'Co-PI Budget (3)'!I56,0)+IF(AND('rates, dates, etc'!$B$349="Contract College",'rates, dates, etc'!$B$350="Off"),'Co-PI Budget (4)'!I56,0)+IF(AND('rates, dates, etc'!$B$430="Contract College",'rates, dates, etc'!$B$431="Off"),'Co-PI Budget (5)'!I56,0)</f>
        <v>0</v>
      </c>
      <c r="J86" s="371">
        <f>IF(AND('rates, dates, etc'!$B$25="Contract College",'rates, dates, etc'!$B$26="Off"),'Lead Budget'!J54,0)+IF(AND('rates, dates, etc'!$B$106="Contract College",'rates, dates, etc'!$B$107="Off"),'Co-PI Budget (1)'!J54,0)+IF(AND('rates, dates, etc'!$B$187="Contract College",'rates, dates, etc'!$B$188="Off"),'Co-PI Budget (2)'!J56,0)+IF(AND('rates, dates, etc'!$B$268="Contract College",'rates, dates, etc'!$B$269="Off"),'Co-PI Budget (3)'!J56,0)+IF(AND('rates, dates, etc'!$B$349="Contract College",'rates, dates, etc'!$B$350="Off"),'Co-PI Budget (4)'!J56,0)+IF(AND('rates, dates, etc'!$B$430="Contract College",'rates, dates, etc'!$B$431="Off"),'Co-PI Budget (5)'!J56,0)</f>
        <v>0</v>
      </c>
      <c r="K86" s="371">
        <f>IF(AND('rates, dates, etc'!$B$25="Contract College",'rates, dates, etc'!$B$26="Off"),'Lead Budget'!K54,0)+IF(AND('rates, dates, etc'!$B$106="Contract College",'rates, dates, etc'!$B$107="Off"),'Co-PI Budget (1)'!K54,0)+IF(AND('rates, dates, etc'!$B$187="Contract College",'rates, dates, etc'!$B$188="Off"),'Co-PI Budget (2)'!K56,0)+IF(AND('rates, dates, etc'!$B$268="Contract College",'rates, dates, etc'!$B$269="Off"),'Co-PI Budget (3)'!K56,0)+IF(AND('rates, dates, etc'!$B$349="Contract College",'rates, dates, etc'!$B$350="Off"),'Co-PI Budget (4)'!K56,0)+IF(AND('rates, dates, etc'!$B$430="Contract College",'rates, dates, etc'!$B$431="Off"),'Co-PI Budget (5)'!K56,0)</f>
        <v>0</v>
      </c>
      <c r="L86" s="372">
        <f t="shared" si="37"/>
        <v>0</v>
      </c>
      <c r="M86" s="384"/>
    </row>
    <row r="87" spans="1:16" ht="11" thickBot="1" x14ac:dyDescent="0.3">
      <c r="A87" s="71" t="s">
        <v>142</v>
      </c>
      <c r="B87" s="371">
        <f>IF(AND('rates, dates, etc'!$B$25="Endowed College",'rates, dates, etc'!$B$26="On"),'Lead Budget'!B54,0)+IF(AND('rates, dates, etc'!$B$106="Endowed College",'rates, dates, etc'!$B$107="On"),'Co-PI Budget (1)'!B54,0)+IF(AND('rates, dates, etc'!$B$187="Endowed College",'rates, dates, etc'!$B$188="On"),'Co-PI Budget (2)'!B56,0)+IF(AND('rates, dates, etc'!$B$268="Endowed College",'rates, dates, etc'!$B$269="On"),'Co-PI Budget (3)'!B56,0)+IF(AND('rates, dates, etc'!$B$349="Endowed College",'rates, dates, etc'!$B$350="On"),'Co-PI Budget (4)'!B56,0)+IF(AND('rates, dates, etc'!$B$430="Endowed College",'rates, dates, etc'!$B$431="On"),'Co-PI Budget (5)'!B56,0)</f>
        <v>0</v>
      </c>
      <c r="C87" s="371">
        <f>IF(AND('rates, dates, etc'!$B$25="Endowed College",'rates, dates, etc'!$B$26="On"),'Lead Budget'!C54,0)+IF(AND('rates, dates, etc'!$B$106="Endowed College",'rates, dates, etc'!$B$107="On"),'Co-PI Budget (1)'!C54,0)+IF(AND('rates, dates, etc'!$B$187="Endowed College",'rates, dates, etc'!$B$188="On"),'Co-PI Budget (2)'!C56,0)+IF(AND('rates, dates, etc'!$B$268="Endowed College",'rates, dates, etc'!$B$269="On"),'Co-PI Budget (3)'!C56,0)+IF(AND('rates, dates, etc'!$B$349="Endowed College",'rates, dates, etc'!$B$350="On"),'Co-PI Budget (4)'!C56,0)+IF(AND('rates, dates, etc'!$B$430="Endowed College",'rates, dates, etc'!$B$431="On"),'Co-PI Budget (5)'!C56,0)</f>
        <v>0</v>
      </c>
      <c r="D87" s="371">
        <f>IF(AND('rates, dates, etc'!$B$25="Endowed College",'rates, dates, etc'!$B$26="On"),'Lead Budget'!D54,0)+IF(AND('rates, dates, etc'!$B$106="Endowed College",'rates, dates, etc'!$B$107="On"),'Co-PI Budget (1)'!D54,0)+IF(AND('rates, dates, etc'!$B$187="Endowed College",'rates, dates, etc'!$B$188="On"),'Co-PI Budget (2)'!D56,0)+IF(AND('rates, dates, etc'!$B$268="Endowed College",'rates, dates, etc'!$B$269="On"),'Co-PI Budget (3)'!D56,0)+IF(AND('rates, dates, etc'!$B$349="Endowed College",'rates, dates, etc'!$B$350="On"),'Co-PI Budget (4)'!D56,0)+IF(AND('rates, dates, etc'!$B$430="Endowed College",'rates, dates, etc'!$B$431="On"),'Co-PI Budget (5)'!D56,0)</f>
        <v>0</v>
      </c>
      <c r="E87" s="371">
        <f>IF(AND('rates, dates, etc'!$B$25="Endowed College",'rates, dates, etc'!$B$26="On"),'Lead Budget'!E54,0)+IF(AND('rates, dates, etc'!$B$106="Endowed College",'rates, dates, etc'!$B$107="On"),'Co-PI Budget (1)'!E54,0)+IF(AND('rates, dates, etc'!$B$187="Endowed College",'rates, dates, etc'!$B$188="On"),'Co-PI Budget (2)'!E56,0)+IF(AND('rates, dates, etc'!$B$268="Endowed College",'rates, dates, etc'!$B$269="On"),'Co-PI Budget (3)'!E56,0)+IF(AND('rates, dates, etc'!$B$349="Endowed College",'rates, dates, etc'!$B$350="On"),'Co-PI Budget (4)'!E56,0)+IF(AND('rates, dates, etc'!$B$430="Endowed College",'rates, dates, etc'!$B$431="On"),'Co-PI Budget (5)'!E56,0)</f>
        <v>0</v>
      </c>
      <c r="F87" s="371">
        <f>IF(AND('rates, dates, etc'!$B$25="Endowed College",'rates, dates, etc'!$B$26="On"),'Lead Budget'!F54,0)+IF(AND('rates, dates, etc'!$B$106="Endowed College",'rates, dates, etc'!$B$107="On"),'Co-PI Budget (1)'!F54,0)+IF(AND('rates, dates, etc'!$B$187="Endowed College",'rates, dates, etc'!$B$188="On"),'Co-PI Budget (2)'!F56,0)+IF(AND('rates, dates, etc'!$B$268="Endowed College",'rates, dates, etc'!$B$269="On"),'Co-PI Budget (3)'!F56,0)+IF(AND('rates, dates, etc'!$B$349="Endowed College",'rates, dates, etc'!$B$350="On"),'Co-PI Budget (4)'!F56,0)+IF(AND('rates, dates, etc'!$B$430="Endowed College",'rates, dates, etc'!$B$431="On"),'Co-PI Budget (5)'!F56,0)</f>
        <v>0</v>
      </c>
      <c r="G87" s="371">
        <f>IF(AND('rates, dates, etc'!$B$25="Endowed College",'rates, dates, etc'!$B$26="On"),'Lead Budget'!G54,0)+IF(AND('rates, dates, etc'!$B$106="Endowed College",'rates, dates, etc'!$B$107="On"),'Co-PI Budget (1)'!G54,0)+IF(AND('rates, dates, etc'!$B$187="Endowed College",'rates, dates, etc'!$B$188="On"),'Co-PI Budget (2)'!G56,0)+IF(AND('rates, dates, etc'!$B$268="Endowed College",'rates, dates, etc'!$B$269="On"),'Co-PI Budget (3)'!G56,0)+IF(AND('rates, dates, etc'!$B$349="Endowed College",'rates, dates, etc'!$B$350="On"),'Co-PI Budget (4)'!G56,0)+IF(AND('rates, dates, etc'!$B$430="Endowed College",'rates, dates, etc'!$B$431="On"),'Co-PI Budget (5)'!G56,0)</f>
        <v>0</v>
      </c>
      <c r="H87" s="371">
        <f>IF(AND('rates, dates, etc'!$B$25="Endowed College",'rates, dates, etc'!$B$26="On"),'Lead Budget'!H54,0)+IF(AND('rates, dates, etc'!$B$106="Endowed College",'rates, dates, etc'!$B$107="On"),'Co-PI Budget (1)'!H54,0)+IF(AND('rates, dates, etc'!$B$187="Endowed College",'rates, dates, etc'!$B$188="On"),'Co-PI Budget (2)'!H56,0)+IF(AND('rates, dates, etc'!$B$268="Endowed College",'rates, dates, etc'!$B$269="On"),'Co-PI Budget (3)'!H56,0)+IF(AND('rates, dates, etc'!$B$349="Endowed College",'rates, dates, etc'!$B$350="On"),'Co-PI Budget (4)'!H56,0)+IF(AND('rates, dates, etc'!$B$430="Endowed College",'rates, dates, etc'!$B$431="On"),'Co-PI Budget (5)'!H56,0)</f>
        <v>0</v>
      </c>
      <c r="I87" s="371">
        <f>IF(AND('rates, dates, etc'!$B$25="Endowed College",'rates, dates, etc'!$B$26="On"),'Lead Budget'!I54,0)+IF(AND('rates, dates, etc'!$B$106="Endowed College",'rates, dates, etc'!$B$107="On"),'Co-PI Budget (1)'!I54,0)+IF(AND('rates, dates, etc'!$B$187="Endowed College",'rates, dates, etc'!$B$188="On"),'Co-PI Budget (2)'!I56,0)+IF(AND('rates, dates, etc'!$B$268="Endowed College",'rates, dates, etc'!$B$269="On"),'Co-PI Budget (3)'!I56,0)+IF(AND('rates, dates, etc'!$B$349="Endowed College",'rates, dates, etc'!$B$350="On"),'Co-PI Budget (4)'!I56,0)+IF(AND('rates, dates, etc'!$B$430="Endowed College",'rates, dates, etc'!$B$431="On"),'Co-PI Budget (5)'!I56,0)</f>
        <v>0</v>
      </c>
      <c r="J87" s="371">
        <f>IF(AND('rates, dates, etc'!$B$25="Endowed College",'rates, dates, etc'!$B$26="On"),'Lead Budget'!J54,0)+IF(AND('rates, dates, etc'!$B$106="Endowed College",'rates, dates, etc'!$B$107="On"),'Co-PI Budget (1)'!J54,0)+IF(AND('rates, dates, etc'!$B$187="Endowed College",'rates, dates, etc'!$B$188="On"),'Co-PI Budget (2)'!J56,0)+IF(AND('rates, dates, etc'!$B$268="Endowed College",'rates, dates, etc'!$B$269="On"),'Co-PI Budget (3)'!J56,0)+IF(AND('rates, dates, etc'!$B$349="Endowed College",'rates, dates, etc'!$B$350="On"),'Co-PI Budget (4)'!J56,0)+IF(AND('rates, dates, etc'!$B$430="Endowed College",'rates, dates, etc'!$B$431="On"),'Co-PI Budget (5)'!J56,0)</f>
        <v>0</v>
      </c>
      <c r="K87" s="371">
        <f>IF(AND('rates, dates, etc'!$B$25="Endowed College",'rates, dates, etc'!$B$26="On"),'Lead Budget'!K54,0)+IF(AND('rates, dates, etc'!$B$106="Endowed College",'rates, dates, etc'!$B$107="On"),'Co-PI Budget (1)'!K54,0)+IF(AND('rates, dates, etc'!$B$187="Endowed College",'rates, dates, etc'!$B$188="On"),'Co-PI Budget (2)'!K56,0)+IF(AND('rates, dates, etc'!$B$268="Endowed College",'rates, dates, etc'!$B$269="On"),'Co-PI Budget (3)'!K56,0)+IF(AND('rates, dates, etc'!$B$349="Endowed College",'rates, dates, etc'!$B$350="On"),'Co-PI Budget (4)'!K56,0)+IF(AND('rates, dates, etc'!$B$430="Endowed College",'rates, dates, etc'!$B$431="On"),'Co-PI Budget (5)'!K56,0)</f>
        <v>0</v>
      </c>
      <c r="L87" s="372">
        <f t="shared" si="37"/>
        <v>0</v>
      </c>
      <c r="M87" s="384"/>
    </row>
    <row r="88" spans="1:16" ht="11" thickBot="1" x14ac:dyDescent="0.3">
      <c r="A88" s="71" t="s">
        <v>141</v>
      </c>
      <c r="B88" s="371">
        <f>IF(AND('rates, dates, etc'!$B$25="Endowed College",'rates, dates, etc'!$B$26="Off"),'Lead Budget'!B54,0)+IF(AND('rates, dates, etc'!$B$106="Endowed College",'rates, dates, etc'!$B$107="Off"),'Co-PI Budget (1)'!B54,0)+IF(AND('rates, dates, etc'!$B$187="Endowed College",'rates, dates, etc'!$B$188="Off"),'Co-PI Budget (2)'!B56,0)+IF(AND('rates, dates, etc'!$B$268="Endowed College",'rates, dates, etc'!$B$269="Off"),'Co-PI Budget (3)'!B56,0)+IF(AND('rates, dates, etc'!$B$349="Endowed College",'rates, dates, etc'!$B$350="Off"),'Co-PI Budget (4)'!B56,0)+IF(AND('rates, dates, etc'!$B$430="Endowed College",'rates, dates, etc'!$B$431="Off"),'Co-PI Budget (5)'!B56,0)</f>
        <v>0</v>
      </c>
      <c r="C88" s="371">
        <f>IF(AND('rates, dates, etc'!$B$25="Endowed College",'rates, dates, etc'!$B$26="Off"),'Lead Budget'!C54,0)+IF(AND('rates, dates, etc'!$B$106="Endowed College",'rates, dates, etc'!$B$107="Off"),'Co-PI Budget (1)'!C54,0)+IF(AND('rates, dates, etc'!$B$187="Endowed College",'rates, dates, etc'!$B$188="Off"),'Co-PI Budget (2)'!C56,0)+IF(AND('rates, dates, etc'!$B$268="Endowed College",'rates, dates, etc'!$B$269="Off"),'Co-PI Budget (3)'!C56,0)+IF(AND('rates, dates, etc'!$B$349="Endowed College",'rates, dates, etc'!$B$350="Off"),'Co-PI Budget (4)'!C56,0)+IF(AND('rates, dates, etc'!$B$430="Endowed College",'rates, dates, etc'!$B$431="Off"),'Co-PI Budget (5)'!C56,0)</f>
        <v>0</v>
      </c>
      <c r="D88" s="371">
        <f>IF(AND('rates, dates, etc'!$B$25="Endowed College",'rates, dates, etc'!$B$26="Off"),'Lead Budget'!D54,0)+IF(AND('rates, dates, etc'!$B$106="Endowed College",'rates, dates, etc'!$B$107="Off"),'Co-PI Budget (1)'!D54,0)+IF(AND('rates, dates, etc'!$B$187="Endowed College",'rates, dates, etc'!$B$188="Off"),'Co-PI Budget (2)'!D56,0)+IF(AND('rates, dates, etc'!$B$268="Endowed College",'rates, dates, etc'!$B$269="Off"),'Co-PI Budget (3)'!D56,0)+IF(AND('rates, dates, etc'!$B$349="Endowed College",'rates, dates, etc'!$B$350="Off"),'Co-PI Budget (4)'!D56,0)+IF(AND('rates, dates, etc'!$B$430="Endowed College",'rates, dates, etc'!$B$431="Off"),'Co-PI Budget (5)'!D56,0)</f>
        <v>0</v>
      </c>
      <c r="E88" s="371">
        <f>IF(AND('rates, dates, etc'!$B$25="Endowed College",'rates, dates, etc'!$B$26="Off"),'Lead Budget'!E54,0)+IF(AND('rates, dates, etc'!$B$106="Endowed College",'rates, dates, etc'!$B$107="Off"),'Co-PI Budget (1)'!E54,0)+IF(AND('rates, dates, etc'!$B$187="Endowed College",'rates, dates, etc'!$B$188="Off"),'Co-PI Budget (2)'!E56,0)+IF(AND('rates, dates, etc'!$B$268="Endowed College",'rates, dates, etc'!$B$269="Off"),'Co-PI Budget (3)'!E56,0)+IF(AND('rates, dates, etc'!$B$349="Endowed College",'rates, dates, etc'!$B$350="Off"),'Co-PI Budget (4)'!E56,0)+IF(AND('rates, dates, etc'!$B$430="Endowed College",'rates, dates, etc'!$B$431="Off"),'Co-PI Budget (5)'!E56,0)</f>
        <v>0</v>
      </c>
      <c r="F88" s="371">
        <f>IF(AND('rates, dates, etc'!$B$25="Endowed College",'rates, dates, etc'!$B$26="Off"),'Lead Budget'!F54,0)+IF(AND('rates, dates, etc'!$B$106="Endowed College",'rates, dates, etc'!$B$107="Off"),'Co-PI Budget (1)'!F54,0)+IF(AND('rates, dates, etc'!$B$187="Endowed College",'rates, dates, etc'!$B$188="Off"),'Co-PI Budget (2)'!F56,0)+IF(AND('rates, dates, etc'!$B$268="Endowed College",'rates, dates, etc'!$B$269="Off"),'Co-PI Budget (3)'!F56,0)+IF(AND('rates, dates, etc'!$B$349="Endowed College",'rates, dates, etc'!$B$350="Off"),'Co-PI Budget (4)'!F56,0)+IF(AND('rates, dates, etc'!$B$430="Endowed College",'rates, dates, etc'!$B$431="Off"),'Co-PI Budget (5)'!F56,0)</f>
        <v>0</v>
      </c>
      <c r="G88" s="371">
        <f>IF(AND('rates, dates, etc'!$B$25="Endowed College",'rates, dates, etc'!$B$26="Off"),'Lead Budget'!G54,0)+IF(AND('rates, dates, etc'!$B$106="Endowed College",'rates, dates, etc'!$B$107="Off"),'Co-PI Budget (1)'!G54,0)+IF(AND('rates, dates, etc'!$B$187="Endowed College",'rates, dates, etc'!$B$188="Off"),'Co-PI Budget (2)'!G56,0)+IF(AND('rates, dates, etc'!$B$268="Endowed College",'rates, dates, etc'!$B$269="Off"),'Co-PI Budget (3)'!G56,0)+IF(AND('rates, dates, etc'!$B$349="Endowed College",'rates, dates, etc'!$B$350="Off"),'Co-PI Budget (4)'!G56,0)+IF(AND('rates, dates, etc'!$B$430="Endowed College",'rates, dates, etc'!$B$431="Off"),'Co-PI Budget (5)'!G56,0)</f>
        <v>0</v>
      </c>
      <c r="H88" s="371">
        <f>IF(AND('rates, dates, etc'!$B$25="Endowed College",'rates, dates, etc'!$B$26="Off"),'Lead Budget'!H54,0)+IF(AND('rates, dates, etc'!$B$106="Endowed College",'rates, dates, etc'!$B$107="Off"),'Co-PI Budget (1)'!H54,0)+IF(AND('rates, dates, etc'!$B$187="Endowed College",'rates, dates, etc'!$B$188="Off"),'Co-PI Budget (2)'!H56,0)+IF(AND('rates, dates, etc'!$B$268="Endowed College",'rates, dates, etc'!$B$269="Off"),'Co-PI Budget (3)'!H56,0)+IF(AND('rates, dates, etc'!$B$349="Endowed College",'rates, dates, etc'!$B$350="Off"),'Co-PI Budget (4)'!H56,0)+IF(AND('rates, dates, etc'!$B$430="Endowed College",'rates, dates, etc'!$B$431="Off"),'Co-PI Budget (5)'!H56,0)</f>
        <v>0</v>
      </c>
      <c r="I88" s="371">
        <f>IF(AND('rates, dates, etc'!$B$25="Endowed College",'rates, dates, etc'!$B$26="Off"),'Lead Budget'!I54,0)+IF(AND('rates, dates, etc'!$B$106="Endowed College",'rates, dates, etc'!$B$107="Off"),'Co-PI Budget (1)'!I54,0)+IF(AND('rates, dates, etc'!$B$187="Endowed College",'rates, dates, etc'!$B$188="Off"),'Co-PI Budget (2)'!I56,0)+IF(AND('rates, dates, etc'!$B$268="Endowed College",'rates, dates, etc'!$B$269="Off"),'Co-PI Budget (3)'!I56,0)+IF(AND('rates, dates, etc'!$B$349="Endowed College",'rates, dates, etc'!$B$350="Off"),'Co-PI Budget (4)'!I56,0)+IF(AND('rates, dates, etc'!$B$430="Endowed College",'rates, dates, etc'!$B$431="Off"),'Co-PI Budget (5)'!I56,0)</f>
        <v>0</v>
      </c>
      <c r="J88" s="371">
        <f>IF(AND('rates, dates, etc'!$B$25="Endowed College",'rates, dates, etc'!$B$26="Off"),'Lead Budget'!J54,0)+IF(AND('rates, dates, etc'!$B$106="Endowed College",'rates, dates, etc'!$B$107="Off"),'Co-PI Budget (1)'!J54,0)+IF(AND('rates, dates, etc'!$B$187="Endowed College",'rates, dates, etc'!$B$188="Off"),'Co-PI Budget (2)'!J56,0)+IF(AND('rates, dates, etc'!$B$268="Endowed College",'rates, dates, etc'!$B$269="Off"),'Co-PI Budget (3)'!J56,0)+IF(AND('rates, dates, etc'!$B$349="Endowed College",'rates, dates, etc'!$B$350="Off"),'Co-PI Budget (4)'!J56,0)+IF(AND('rates, dates, etc'!$B$430="Endowed College",'rates, dates, etc'!$B$431="Off"),'Co-PI Budget (5)'!J56,0)</f>
        <v>0</v>
      </c>
      <c r="K88" s="371">
        <f>IF(AND('rates, dates, etc'!$B$25="Endowed College",'rates, dates, etc'!$B$26="Off"),'Lead Budget'!K54,0)+IF(AND('rates, dates, etc'!$B$106="Endowed College",'rates, dates, etc'!$B$107="Off"),'Co-PI Budget (1)'!K54,0)+IF(AND('rates, dates, etc'!$B$187="Endowed College",'rates, dates, etc'!$B$188="Off"),'Co-PI Budget (2)'!K56,0)+IF(AND('rates, dates, etc'!$B$268="Endowed College",'rates, dates, etc'!$B$269="Off"),'Co-PI Budget (3)'!K56,0)+IF(AND('rates, dates, etc'!$B$349="Endowed College",'rates, dates, etc'!$B$350="Off"),'Co-PI Budget (4)'!K56,0)+IF(AND('rates, dates, etc'!$B$430="Endowed College",'rates, dates, etc'!$B$431="Off"),'Co-PI Budget (5)'!K56,0)</f>
        <v>0</v>
      </c>
      <c r="L88" s="372">
        <f t="shared" si="37"/>
        <v>0</v>
      </c>
      <c r="M88" s="384"/>
    </row>
    <row r="89" spans="1:16" ht="11" thickBot="1" x14ac:dyDescent="0.3">
      <c r="A89" s="99" t="s">
        <v>18</v>
      </c>
      <c r="B89" s="370">
        <f>IF(AND('rates, dates, etc'!$B$8="no",$L$99&lt;$L$100),B99,B100)</f>
        <v>0</v>
      </c>
      <c r="C89" s="370">
        <f>IF(AND('rates, dates, etc'!$B$8="no",$L$99&lt;$L$100),C99,C100)</f>
        <v>0</v>
      </c>
      <c r="D89" s="370">
        <f>IF(AND('rates, dates, etc'!$B$8="no",$L$99&lt;$L$100),D99,D100)</f>
        <v>0</v>
      </c>
      <c r="E89" s="370">
        <f>IF(AND('rates, dates, etc'!$B$8="no",$L$99&lt;$L$100),E99,E100)</f>
        <v>0</v>
      </c>
      <c r="F89" s="370">
        <f>IF(AND('rates, dates, etc'!$B$8="no",$L$99&lt;$L$100),F99,F100)</f>
        <v>0</v>
      </c>
      <c r="G89" s="370">
        <f>IF(AND('rates, dates, etc'!$B$8="no",$L$99&lt;$L$100),G99,G100)</f>
        <v>0</v>
      </c>
      <c r="H89" s="370">
        <f>IF(AND('rates, dates, etc'!$B$8="no",$L$99&lt;$L$100),H99,H100)</f>
        <v>0</v>
      </c>
      <c r="I89" s="370">
        <f>IF(AND('rates, dates, etc'!$B$8="no",$L$99&lt;$L$100),I99,I100)</f>
        <v>0</v>
      </c>
      <c r="J89" s="370">
        <f>IF(AND('rates, dates, etc'!$B$8="no",$L$99&lt;$L$100),J99,J100)</f>
        <v>0</v>
      </c>
      <c r="K89" s="370">
        <f>IF(AND('rates, dates, etc'!$B$8="no",$L$99&lt;$L$100),K99,K100)</f>
        <v>0</v>
      </c>
      <c r="L89" s="373">
        <f t="shared" si="37"/>
        <v>0</v>
      </c>
      <c r="M89" s="384"/>
      <c r="O89" s="341"/>
      <c r="P89" s="341"/>
    </row>
    <row r="90" spans="1:16" ht="11" thickBot="1" x14ac:dyDescent="0.3">
      <c r="A90" s="99" t="s">
        <v>166</v>
      </c>
      <c r="B90" s="369">
        <f>B84-(SUM(B85:B88))</f>
        <v>0</v>
      </c>
      <c r="C90" s="369">
        <f t="shared" ref="C90:F90" si="38">C84-(SUM(C85:C88))</f>
        <v>0</v>
      </c>
      <c r="D90" s="369">
        <f t="shared" si="38"/>
        <v>0</v>
      </c>
      <c r="E90" s="369">
        <f t="shared" si="38"/>
        <v>0</v>
      </c>
      <c r="F90" s="369">
        <f t="shared" si="38"/>
        <v>0</v>
      </c>
      <c r="G90" s="369">
        <f t="shared" ref="G90:K90" si="39">G84-(SUM(G85:G88))</f>
        <v>0</v>
      </c>
      <c r="H90" s="369">
        <f t="shared" si="39"/>
        <v>0</v>
      </c>
      <c r="I90" s="369">
        <f t="shared" si="39"/>
        <v>0</v>
      </c>
      <c r="J90" s="369">
        <f t="shared" si="39"/>
        <v>0</v>
      </c>
      <c r="K90" s="369">
        <f t="shared" si="39"/>
        <v>0</v>
      </c>
      <c r="L90" s="368">
        <f t="shared" si="37"/>
        <v>0</v>
      </c>
      <c r="M90" s="384"/>
      <c r="O90" s="341"/>
      <c r="P90" s="341"/>
    </row>
    <row r="91" spans="1:16" ht="11" thickBot="1" x14ac:dyDescent="0.3">
      <c r="A91" s="374" t="s">
        <v>19</v>
      </c>
      <c r="B91" s="375">
        <f t="shared" ref="B91:F91" si="40">+B84+B89</f>
        <v>0</v>
      </c>
      <c r="C91" s="375">
        <f t="shared" si="40"/>
        <v>0</v>
      </c>
      <c r="D91" s="375">
        <f t="shared" si="40"/>
        <v>0</v>
      </c>
      <c r="E91" s="375">
        <f t="shared" si="40"/>
        <v>0</v>
      </c>
      <c r="F91" s="375">
        <f t="shared" si="40"/>
        <v>0</v>
      </c>
      <c r="G91" s="375">
        <f t="shared" ref="G91:K91" si="41">+G84+G89</f>
        <v>0</v>
      </c>
      <c r="H91" s="375">
        <f t="shared" si="41"/>
        <v>0</v>
      </c>
      <c r="I91" s="375">
        <f t="shared" si="41"/>
        <v>0</v>
      </c>
      <c r="J91" s="375">
        <f t="shared" si="41"/>
        <v>0</v>
      </c>
      <c r="K91" s="375">
        <f t="shared" si="41"/>
        <v>0</v>
      </c>
      <c r="L91" s="376">
        <f t="shared" si="37"/>
        <v>0</v>
      </c>
      <c r="M91" s="407" t="str">
        <f>IF(L91=SUM('Lead Budget'!L56+'Co-PI Budget (1)'!L56+'Co-PI Budget (2)'!L58+'Co-PI Budget (3)'!L58+'Co-PI Budget (4)'!L58+'Co-PI Budget (5)'!L58),"BALANCED",SUM(L91-SUM('Lead Budget'!L56+'Co-PI Budget (1)'!L56+'Co-PI Budget (2)'!L58+'Co-PI Budget (3)'!L58+'Co-PI Budget (4)'!L58+'Co-PI Budget (5)'!L58)))</f>
        <v>BALANCED</v>
      </c>
      <c r="N91" s="2"/>
      <c r="O91" s="341"/>
      <c r="P91" s="341"/>
    </row>
    <row r="92" spans="1:16" ht="10.5" x14ac:dyDescent="0.25">
      <c r="A92" s="351"/>
      <c r="B92" s="352"/>
      <c r="C92" s="352"/>
      <c r="D92" s="352"/>
      <c r="E92" s="352"/>
      <c r="F92" s="352"/>
      <c r="G92" s="352"/>
      <c r="H92" s="352"/>
      <c r="I92" s="352"/>
      <c r="J92" s="352"/>
      <c r="K92" s="352"/>
    </row>
    <row r="93" spans="1:16" ht="10.5" x14ac:dyDescent="0.25">
      <c r="A93" s="351"/>
      <c r="B93" s="352"/>
      <c r="C93" s="352"/>
      <c r="D93" s="352"/>
      <c r="E93" s="352"/>
      <c r="F93" s="352"/>
      <c r="G93" s="352"/>
      <c r="H93" s="352"/>
      <c r="I93" s="352"/>
      <c r="J93" s="352"/>
      <c r="K93" s="352"/>
    </row>
    <row r="94" spans="1:16" ht="10.5" x14ac:dyDescent="0.25">
      <c r="A94" s="351"/>
      <c r="B94" s="352"/>
      <c r="C94" s="352"/>
      <c r="D94" s="352"/>
      <c r="E94" s="352"/>
      <c r="F94" s="352"/>
      <c r="G94" s="352"/>
      <c r="H94" s="352"/>
      <c r="I94" s="352"/>
      <c r="J94" s="352"/>
      <c r="K94" s="352"/>
    </row>
    <row r="95" spans="1:16" ht="10.5" x14ac:dyDescent="0.25">
      <c r="A95" s="351"/>
      <c r="B95" s="352"/>
      <c r="C95" s="352"/>
      <c r="D95" s="352"/>
      <c r="E95" s="352"/>
      <c r="F95" s="352"/>
      <c r="G95" s="352"/>
      <c r="H95" s="352"/>
      <c r="I95" s="352"/>
      <c r="J95" s="352"/>
      <c r="K95" s="352"/>
    </row>
    <row r="96" spans="1:16" ht="11" thickBot="1" x14ac:dyDescent="0.3">
      <c r="A96" s="353"/>
      <c r="B96" s="354"/>
      <c r="C96" s="354"/>
      <c r="D96" s="354"/>
      <c r="E96" s="354"/>
      <c r="F96" s="354"/>
      <c r="G96" s="354"/>
      <c r="H96" s="354"/>
      <c r="I96" s="354"/>
      <c r="J96" s="354"/>
      <c r="K96" s="354"/>
      <c r="L96" s="354"/>
    </row>
    <row r="97" spans="1:26" ht="11" thickBot="1" x14ac:dyDescent="0.3">
      <c r="A97" s="20" t="s">
        <v>40</v>
      </c>
      <c r="B97" s="377">
        <f>+'Lead Budget'!B59+'Co-PI Budget (1)'!B59+'Co-PI Budget (2)'!B61+'Co-PI Budget (3)'!B61+'Co-PI Budget (4)'!B61+'Co-PI Budget (5)'!B61</f>
        <v>0</v>
      </c>
      <c r="C97" s="377">
        <f>+'Lead Budget'!C59+'Co-PI Budget (1)'!C59+'Co-PI Budget (2)'!C61+'Co-PI Budget (3)'!C61+'Co-PI Budget (4)'!C61+'Co-PI Budget (5)'!C61</f>
        <v>0</v>
      </c>
      <c r="D97" s="377">
        <f>+'Lead Budget'!D59+'Co-PI Budget (1)'!D59+'Co-PI Budget (2)'!D61+'Co-PI Budget (3)'!D61+'Co-PI Budget (4)'!D61+'Co-PI Budget (5)'!D61</f>
        <v>0</v>
      </c>
      <c r="E97" s="377">
        <f>+'Lead Budget'!E59+'Co-PI Budget (1)'!E59+'Co-PI Budget (2)'!E61+'Co-PI Budget (3)'!E61+'Co-PI Budget (4)'!E61+'Co-PI Budget (5)'!E61</f>
        <v>0</v>
      </c>
      <c r="F97" s="377">
        <f>+'Lead Budget'!F59+'Co-PI Budget (1)'!F59+'Co-PI Budget (2)'!F61+'Co-PI Budget (3)'!F61+'Co-PI Budget (4)'!F61+'Co-PI Budget (5)'!F61</f>
        <v>0</v>
      </c>
      <c r="G97" s="377">
        <f>+'Lead Budget'!G59+'Co-PI Budget (1)'!G59+'Co-PI Budget (2)'!G61+'Co-PI Budget (3)'!G61+'Co-PI Budget (4)'!G61+'Co-PI Budget (5)'!G61</f>
        <v>0</v>
      </c>
      <c r="H97" s="377">
        <f>+'Lead Budget'!H59+'Co-PI Budget (1)'!H59+'Co-PI Budget (2)'!H61+'Co-PI Budget (3)'!H61+'Co-PI Budget (4)'!H61+'Co-PI Budget (5)'!H61</f>
        <v>0</v>
      </c>
      <c r="I97" s="377">
        <f>+'Lead Budget'!I59+'Co-PI Budget (1)'!I59+'Co-PI Budget (2)'!I61+'Co-PI Budget (3)'!I61+'Co-PI Budget (4)'!I61+'Co-PI Budget (5)'!I61</f>
        <v>0</v>
      </c>
      <c r="J97" s="377">
        <f>+'Lead Budget'!J59+'Co-PI Budget (1)'!J59+'Co-PI Budget (2)'!J61+'Co-PI Budget (3)'!J61+'Co-PI Budget (4)'!J61+'Co-PI Budget (5)'!J61</f>
        <v>0</v>
      </c>
      <c r="K97" s="377">
        <f>+'Lead Budget'!K59+'Co-PI Budget (1)'!K59+'Co-PI Budget (2)'!K61+'Co-PI Budget (3)'!K61+'Co-PI Budget (4)'!K61+'Co-PI Budget (5)'!K61</f>
        <v>0</v>
      </c>
      <c r="L97" s="412">
        <f>SUM(B97:K97)</f>
        <v>0</v>
      </c>
      <c r="O97" s="355"/>
    </row>
    <row r="98" spans="1:26" ht="10.5" thickBot="1" x14ac:dyDescent="0.25">
      <c r="O98" s="356"/>
      <c r="P98" s="356"/>
      <c r="Q98" s="356"/>
      <c r="R98" s="356"/>
      <c r="S98" s="356"/>
      <c r="T98" s="356"/>
    </row>
    <row r="99" spans="1:26" ht="11" thickBot="1" x14ac:dyDescent="0.3">
      <c r="A99" s="90" t="s">
        <v>110</v>
      </c>
      <c r="B99" s="378">
        <f>'Lead Budget'!B61+'Co-PI Budget (1)'!B61+'Co-PI Budget (2)'!B63+'Co-PI Budget (3)'!B63+'Co-PI Budget (4)'!B63+'Co-PI Budget (5)'!B63</f>
        <v>0</v>
      </c>
      <c r="C99" s="379">
        <f>'Lead Budget'!C61+'Co-PI Budget (1)'!C61+'Co-PI Budget (2)'!C63+'Co-PI Budget (3)'!C63+'Co-PI Budget (4)'!C63+'Co-PI Budget (5)'!C63</f>
        <v>0</v>
      </c>
      <c r="D99" s="379">
        <f>'Lead Budget'!D61+'Co-PI Budget (1)'!D61+'Co-PI Budget (2)'!D63+'Co-PI Budget (3)'!D63+'Co-PI Budget (4)'!D63+'Co-PI Budget (5)'!D63</f>
        <v>0</v>
      </c>
      <c r="E99" s="379">
        <f>'Lead Budget'!E61+'Co-PI Budget (1)'!E61+'Co-PI Budget (2)'!E63+'Co-PI Budget (3)'!E63+'Co-PI Budget (4)'!E63+'Co-PI Budget (5)'!E63</f>
        <v>0</v>
      </c>
      <c r="F99" s="379">
        <f>'Lead Budget'!F61+'Co-PI Budget (1)'!F61+'Co-PI Budget (2)'!F63+'Co-PI Budget (3)'!F63+'Co-PI Budget (4)'!F63+'Co-PI Budget (5)'!F63</f>
        <v>0</v>
      </c>
      <c r="G99" s="379">
        <f>'Lead Budget'!G61+'Co-PI Budget (1)'!G61+'Co-PI Budget (2)'!G63+'Co-PI Budget (3)'!G63+'Co-PI Budget (4)'!G63+'Co-PI Budget (5)'!G63</f>
        <v>0</v>
      </c>
      <c r="H99" s="379">
        <f>'Lead Budget'!H61+'Co-PI Budget (1)'!H61+'Co-PI Budget (2)'!H63+'Co-PI Budget (3)'!H63+'Co-PI Budget (4)'!H63+'Co-PI Budget (5)'!H63</f>
        <v>0</v>
      </c>
      <c r="I99" s="379">
        <f>'Lead Budget'!I61+'Co-PI Budget (1)'!I61+'Co-PI Budget (2)'!I63+'Co-PI Budget (3)'!I63+'Co-PI Budget (4)'!I63+'Co-PI Budget (5)'!I63</f>
        <v>0</v>
      </c>
      <c r="J99" s="379">
        <f>'Lead Budget'!J61+'Co-PI Budget (1)'!J61+'Co-PI Budget (2)'!J63+'Co-PI Budget (3)'!J63+'Co-PI Budget (4)'!J63+'Co-PI Budget (5)'!J63</f>
        <v>0</v>
      </c>
      <c r="K99" s="379">
        <f>'Lead Budget'!K61+'Co-PI Budget (1)'!K61+'Co-PI Budget (2)'!K63+'Co-PI Budget (3)'!K63+'Co-PI Budget (4)'!K63+'Co-PI Budget (5)'!K63</f>
        <v>0</v>
      </c>
      <c r="L99" s="410">
        <f>SUM(B99:K99)</f>
        <v>0</v>
      </c>
      <c r="O99" s="356"/>
      <c r="P99" s="356"/>
      <c r="Q99" s="356"/>
      <c r="R99" s="356"/>
      <c r="S99" s="356"/>
      <c r="T99" s="356"/>
    </row>
    <row r="100" spans="1:26" ht="11" thickBot="1" x14ac:dyDescent="0.3">
      <c r="A100" s="90" t="s">
        <v>120</v>
      </c>
      <c r="B100" s="378">
        <f>'Lead Budget'!B62+'Co-PI Budget (1)'!B62+'Co-PI Budget (2)'!B64+'Co-PI Budget (3)'!B64+'Co-PI Budget (4)'!B64+'Co-PI Budget (5)'!B64</f>
        <v>0</v>
      </c>
      <c r="C100" s="379">
        <f>'Lead Budget'!C62+'Co-PI Budget (1)'!C62+'Co-PI Budget (2)'!C64+'Co-PI Budget (3)'!C64+'Co-PI Budget (4)'!C64+'Co-PI Budget (5)'!C64</f>
        <v>0</v>
      </c>
      <c r="D100" s="379">
        <f>'Lead Budget'!D62+'Co-PI Budget (1)'!D62+'Co-PI Budget (2)'!D64+'Co-PI Budget (3)'!D64+'Co-PI Budget (4)'!D64+'Co-PI Budget (5)'!D64</f>
        <v>0</v>
      </c>
      <c r="E100" s="379">
        <f>'Lead Budget'!E62+'Co-PI Budget (1)'!E62+'Co-PI Budget (2)'!E64+'Co-PI Budget (3)'!E64+'Co-PI Budget (4)'!E64+'Co-PI Budget (5)'!E64</f>
        <v>0</v>
      </c>
      <c r="F100" s="379">
        <f>'Lead Budget'!F62+'Co-PI Budget (1)'!F62+'Co-PI Budget (2)'!F64+'Co-PI Budget (3)'!F64+'Co-PI Budget (4)'!F64+'Co-PI Budget (5)'!F64</f>
        <v>0</v>
      </c>
      <c r="G100" s="379">
        <f>'Lead Budget'!G62+'Co-PI Budget (1)'!G62+'Co-PI Budget (2)'!G64+'Co-PI Budget (3)'!G64+'Co-PI Budget (4)'!G64+'Co-PI Budget (5)'!G64</f>
        <v>0</v>
      </c>
      <c r="H100" s="379">
        <f>'Lead Budget'!H62+'Co-PI Budget (1)'!H62+'Co-PI Budget (2)'!H64+'Co-PI Budget (3)'!H64+'Co-PI Budget (4)'!H64+'Co-PI Budget (5)'!H64</f>
        <v>0</v>
      </c>
      <c r="I100" s="379">
        <f>'Lead Budget'!I62+'Co-PI Budget (1)'!I62+'Co-PI Budget (2)'!I64+'Co-PI Budget (3)'!I64+'Co-PI Budget (4)'!I64+'Co-PI Budget (5)'!I64</f>
        <v>0</v>
      </c>
      <c r="J100" s="379">
        <f>'Lead Budget'!J62+'Co-PI Budget (1)'!J62+'Co-PI Budget (2)'!J64+'Co-PI Budget (3)'!J64+'Co-PI Budget (4)'!J64+'Co-PI Budget (5)'!J64</f>
        <v>0</v>
      </c>
      <c r="K100" s="379">
        <f>'Lead Budget'!K62+'Co-PI Budget (1)'!K62+'Co-PI Budget (2)'!K64+'Co-PI Budget (3)'!K64+'Co-PI Budget (4)'!K64+'Co-PI Budget (5)'!K64</f>
        <v>0</v>
      </c>
      <c r="L100" s="410">
        <f>SUM(B100:K100)</f>
        <v>0</v>
      </c>
      <c r="O100" s="356"/>
      <c r="P100" s="356"/>
      <c r="Q100" s="356"/>
      <c r="R100" s="356"/>
      <c r="S100" s="356"/>
      <c r="T100" s="356"/>
    </row>
    <row r="101" spans="1:26" x14ac:dyDescent="0.2">
      <c r="O101" s="356"/>
      <c r="P101" s="356"/>
      <c r="Q101" s="356"/>
      <c r="R101" s="356"/>
      <c r="S101" s="356"/>
      <c r="T101" s="356"/>
    </row>
    <row r="102" spans="1:26" ht="10.5" x14ac:dyDescent="0.25">
      <c r="A102" s="413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</row>
    <row r="103" spans="1:26" ht="10.5" x14ac:dyDescent="0.25">
      <c r="A103" s="414"/>
      <c r="B103" s="415"/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</row>
    <row r="104" spans="1:26" ht="10.5" x14ac:dyDescent="0.25">
      <c r="A104" s="414"/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</row>
    <row r="105" spans="1:26" ht="10.5" x14ac:dyDescent="0.25">
      <c r="A105" s="347"/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1"/>
      <c r="N105" s="1" t="str">
        <f>+'rates, dates, etc'!M6</f>
        <v>IDC Rate - Contract:</v>
      </c>
      <c r="O105" s="1">
        <f>IF('rates, dates, etc'!$B26="Off",(HLOOKUP('rates, dates, etc'!B$31,'rates, dates, etc'!$N$2:$Z$10,8,FALSE)),IF('rates, dates, etc'!$B$7="Other",(HLOOKUP('rates, dates, etc'!B$31,'rates, dates, etc'!$N$2:$Z$10,7,FALSE)),(HLOOKUP('rates, dates, etc'!B$31,'rates, dates, etc'!$N$2:$Y$12,5,FALSE))))</f>
        <v>0.56999999999999995</v>
      </c>
      <c r="P105" s="1">
        <f>IF('rates, dates, etc'!$B26="Off",(HLOOKUP('rates, dates, etc'!C$31,'rates, dates, etc'!$N$2:$Z$10,8,FALSE)),IF('rates, dates, etc'!$B$7="Other",(HLOOKUP('rates, dates, etc'!C$31,'rates, dates, etc'!$N$2:$Z$10,7,FALSE)),(HLOOKUP('rates, dates, etc'!C$31,'rates, dates, etc'!$N$2:$Y$12,5,FALSE))))</f>
        <v>0.56999999999999995</v>
      </c>
      <c r="Q105" s="1">
        <f>IF('rates, dates, etc'!$B26="Off",(HLOOKUP('rates, dates, etc'!D$31,'rates, dates, etc'!$N$2:$Z$10,8,FALSE)),IF('rates, dates, etc'!$B$7="Other",(HLOOKUP('rates, dates, etc'!D$31,'rates, dates, etc'!$N$2:$Z$10,7,FALSE)),(HLOOKUP('rates, dates, etc'!D$31,'rates, dates, etc'!$N$2:$Y$12,5,FALSE))))</f>
        <v>0.56999999999999995</v>
      </c>
      <c r="R105" s="1">
        <f>IF('rates, dates, etc'!$B26="Off",(HLOOKUP('rates, dates, etc'!E$31,'rates, dates, etc'!$N$2:$Z$10,8,FALSE)),IF('rates, dates, etc'!$B$7="Other",(HLOOKUP('rates, dates, etc'!E$31,'rates, dates, etc'!$N$2:$Z$10,7,FALSE)),(HLOOKUP('rates, dates, etc'!E$31,'rates, dates, etc'!$N$2:$Y$12,5,FALSE))))</f>
        <v>0.56999999999999995</v>
      </c>
      <c r="S105" s="1">
        <f>IF('rates, dates, etc'!$B26="Off",(HLOOKUP('rates, dates, etc'!F$31,'rates, dates, etc'!$N$2:$Z$10,8,FALSE)),IF('rates, dates, etc'!$B$7="Other",(HLOOKUP('rates, dates, etc'!F$31,'rates, dates, etc'!$N$2:$Z$10,7,FALSE)),(HLOOKUP('rates, dates, etc'!F$31,'rates, dates, etc'!$N$2:$Y$12,5,FALSE))))</f>
        <v>0.56999999999999995</v>
      </c>
      <c r="T105" s="1">
        <f>IF('rates, dates, etc'!$B26="Off",(HLOOKUP('rates, dates, etc'!G$31,'rates, dates, etc'!$N$2:$Z$10,8,FALSE)),IF('rates, dates, etc'!$B$7="Other",(HLOOKUP('rates, dates, etc'!G$31,'rates, dates, etc'!$N$2:$Z$10,7,FALSE)),(HLOOKUP('rates, dates, etc'!G$31,'rates, dates, etc'!$N$2:$Y$12,5,FALSE))))</f>
        <v>0.56999999999999995</v>
      </c>
      <c r="U105" s="1">
        <f>IF('rates, dates, etc'!$B26="Off",(HLOOKUP('rates, dates, etc'!H$31,'rates, dates, etc'!$N$2:$Z$10,8,FALSE)),IF('rates, dates, etc'!$B$7="Other",(HLOOKUP('rates, dates, etc'!H$31,'rates, dates, etc'!$N$2:$Z$10,7,FALSE)),(HLOOKUP('rates, dates, etc'!H$31,'rates, dates, etc'!$N$2:$Y$12,5,FALSE))))</f>
        <v>0.56999999999999995</v>
      </c>
      <c r="V105" s="1">
        <f>IF('rates, dates, etc'!$B26="Off",(HLOOKUP('rates, dates, etc'!I$31,'rates, dates, etc'!$N$2:$Z$10,8,FALSE)),IF('rates, dates, etc'!$B$7="Other",(HLOOKUP('rates, dates, etc'!I$31,'rates, dates, etc'!$N$2:$Z$10,7,FALSE)),(HLOOKUP('rates, dates, etc'!I$31,'rates, dates, etc'!$N$2:$Y$12,5,FALSE))))</f>
        <v>0.56999999999999995</v>
      </c>
      <c r="W105" s="1">
        <f>IF('rates, dates, etc'!$B26="Off",(HLOOKUP('rates, dates, etc'!J$31,'rates, dates, etc'!$N$2:$Z$10,8,FALSE)),IF('rates, dates, etc'!$B$7="Other",(HLOOKUP('rates, dates, etc'!J$31,'rates, dates, etc'!$N$2:$Z$10,7,FALSE)),(HLOOKUP('rates, dates, etc'!J$31,'rates, dates, etc'!$N$2:$Y$12,5,FALSE))))</f>
        <v>0.56999999999999995</v>
      </c>
      <c r="X105" s="1">
        <f>IF('rates, dates, etc'!$B26="Off",(HLOOKUP('rates, dates, etc'!K$31,'rates, dates, etc'!$N$2:$Z$10,8,FALSE)),IF('rates, dates, etc'!$B$7="Other",(HLOOKUP('rates, dates, etc'!K$31,'rates, dates, etc'!$N$2:$Z$10,7,FALSE)),(HLOOKUP('rates, dates, etc'!K$31,'rates, dates, etc'!$N$2:$Y$12,5,FALSE))))</f>
        <v>0.56999999999999995</v>
      </c>
      <c r="Y105" s="1">
        <f>IF('rates, dates, etc'!$B26="Off",(HLOOKUP('rates, dates, etc'!L$31,'rates, dates, etc'!$N$2:$Z$10,8,FALSE)),IF('rates, dates, etc'!$B$7="Other",(HLOOKUP('rates, dates, etc'!L$31,'rates, dates, etc'!$N$2:$Z$10,7,FALSE)),(HLOOKUP('rates, dates, etc'!L$31,'rates, dates, etc'!$N$2:$Y$12,5,FALSE))))</f>
        <v>0.56999999999999995</v>
      </c>
      <c r="Z105" s="1">
        <f>IF('rates, dates, etc'!$B26="Off",(HLOOKUP('rates, dates, etc'!M$31,'rates, dates, etc'!$N$2:$Z$10,8,FALSE)),IF('rates, dates, etc'!$B$7="Other",(HLOOKUP('rates, dates, etc'!M$31,'rates, dates, etc'!$N$2:$Z$10,7,FALSE)),(HLOOKUP('rates, dates, etc'!M$31,'rates, dates, etc'!$N$2:$Z$12,5,FALSE))))</f>
        <v>0.56999999999999995</v>
      </c>
    </row>
    <row r="106" spans="1:26" x14ac:dyDescent="0.2">
      <c r="B106" s="411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N106" s="1" t="str">
        <f>+'rates, dates, etc'!M7</f>
        <v>IDC Rate - Endowed:</v>
      </c>
      <c r="O106" s="1">
        <f>IF('rates, dates, etc'!$B26="Off",(HLOOKUP('rates, dates, etc'!B$31,'rates, dates, etc'!$N$2:$Z$10,8,FALSE)),IF('rates, dates, etc'!$B$7="Other",(HLOOKUP('rates, dates, etc'!B$31,'rates, dates, etc'!$N$2:$Z$10,7,FALSE)),(HLOOKUP('rates, dates, etc'!B$31,'rates, dates, etc'!$N$2:$Y$12,6,FALSE))))</f>
        <v>0.64</v>
      </c>
      <c r="P106" s="1">
        <f>IF('rates, dates, etc'!$B26="Off",(HLOOKUP('rates, dates, etc'!C$31,'rates, dates, etc'!$N$2:$Z$10,8,FALSE)),IF('rates, dates, etc'!$B$7="Other",(HLOOKUP('rates, dates, etc'!C$31,'rates, dates, etc'!$N$2:$Z$10,7,FALSE)),(HLOOKUP('rates, dates, etc'!C$31,'rates, dates, etc'!$N$2:$Y$12,6,FALSE))))</f>
        <v>0.64</v>
      </c>
      <c r="Q106" s="1">
        <f>IF('rates, dates, etc'!$B26="Off",(HLOOKUP('rates, dates, etc'!D$31,'rates, dates, etc'!$N$2:$Z$10,8,FALSE)),IF('rates, dates, etc'!$B$7="Other",(HLOOKUP('rates, dates, etc'!D$31,'rates, dates, etc'!$N$2:$Z$10,7,FALSE)),(HLOOKUP('rates, dates, etc'!D$31,'rates, dates, etc'!$N$2:$Y$12,6,FALSE))))</f>
        <v>0.64</v>
      </c>
      <c r="R106" s="1">
        <f>IF('rates, dates, etc'!$B26="Off",(HLOOKUP('rates, dates, etc'!E$31,'rates, dates, etc'!$N$2:$Z$10,8,FALSE)),IF('rates, dates, etc'!$B$7="Other",(HLOOKUP('rates, dates, etc'!E$31,'rates, dates, etc'!$N$2:$Z$10,7,FALSE)),(HLOOKUP('rates, dates, etc'!E$31,'rates, dates, etc'!$N$2:$Y$12,6,FALSE))))</f>
        <v>0.64</v>
      </c>
      <c r="S106" s="1">
        <f>IF('rates, dates, etc'!$B26="Off",(HLOOKUP('rates, dates, etc'!F$31,'rates, dates, etc'!$N$2:$Z$10,8,FALSE)),IF('rates, dates, etc'!$B$7="Other",(HLOOKUP('rates, dates, etc'!F$31,'rates, dates, etc'!$N$2:$Z$10,7,FALSE)),(HLOOKUP('rates, dates, etc'!F$31,'rates, dates, etc'!$N$2:$Y$12,6,FALSE))))</f>
        <v>0.64</v>
      </c>
      <c r="T106" s="1">
        <f>IF('rates, dates, etc'!$B26="Off",(HLOOKUP('rates, dates, etc'!G$31,'rates, dates, etc'!$N$2:$Z$10,8,FALSE)),IF('rates, dates, etc'!$B$7="Other",(HLOOKUP('rates, dates, etc'!G$31,'rates, dates, etc'!$N$2:$Z$10,7,FALSE)),(HLOOKUP('rates, dates, etc'!G$31,'rates, dates, etc'!$N$2:$Y$12,6,FALSE))))</f>
        <v>0.64</v>
      </c>
      <c r="U106" s="1">
        <f>IF('rates, dates, etc'!$B26="Off",(HLOOKUP('rates, dates, etc'!H$31,'rates, dates, etc'!$N$2:$Z$10,8,FALSE)),IF('rates, dates, etc'!$B$7="Other",(HLOOKUP('rates, dates, etc'!H$31,'rates, dates, etc'!$N$2:$Z$10,7,FALSE)),(HLOOKUP('rates, dates, etc'!H$31,'rates, dates, etc'!$N$2:$Y$12,6,FALSE))))</f>
        <v>0.64</v>
      </c>
      <c r="V106" s="1">
        <f>IF('rates, dates, etc'!$B26="Off",(HLOOKUP('rates, dates, etc'!I$31,'rates, dates, etc'!$N$2:$Z$10,8,FALSE)),IF('rates, dates, etc'!$B$7="Other",(HLOOKUP('rates, dates, etc'!I$31,'rates, dates, etc'!$N$2:$Z$10,7,FALSE)),(HLOOKUP('rates, dates, etc'!I$31,'rates, dates, etc'!$N$2:$Y$12,6,FALSE))))</f>
        <v>0.64</v>
      </c>
      <c r="W106" s="1">
        <f>IF('rates, dates, etc'!$B26="Off",(HLOOKUP('rates, dates, etc'!J$31,'rates, dates, etc'!$N$2:$Z$10,8,FALSE)),IF('rates, dates, etc'!$B$7="Other",(HLOOKUP('rates, dates, etc'!J$31,'rates, dates, etc'!$N$2:$Z$10,7,FALSE)),(HLOOKUP('rates, dates, etc'!J$31,'rates, dates, etc'!$N$2:$Y$12,6,FALSE))))</f>
        <v>0.64</v>
      </c>
      <c r="X106" s="1">
        <f>IF('rates, dates, etc'!$B26="Off",(HLOOKUP('rates, dates, etc'!K$31,'rates, dates, etc'!$N$2:$Z$10,8,FALSE)),IF('rates, dates, etc'!$B$7="Other",(HLOOKUP('rates, dates, etc'!K$31,'rates, dates, etc'!$N$2:$Z$10,7,FALSE)),(HLOOKUP('rates, dates, etc'!K$31,'rates, dates, etc'!$N$2:$Y$12,6,FALSE))))</f>
        <v>0.64</v>
      </c>
      <c r="Y106" s="1">
        <f>IF('rates, dates, etc'!$B26="Off",(HLOOKUP('rates, dates, etc'!L$31,'rates, dates, etc'!$N$2:$Z$10,8,FALSE)),IF('rates, dates, etc'!$B$7="Other",(HLOOKUP('rates, dates, etc'!L$31,'rates, dates, etc'!$N$2:$Z$10,7,FALSE)),(HLOOKUP('rates, dates, etc'!L$31,'rates, dates, etc'!$N$2:$Y$12,6,FALSE))))</f>
        <v>0.64</v>
      </c>
      <c r="Z106" s="1">
        <f>IF('rates, dates, etc'!$B26="Off",(HLOOKUP('rates, dates, etc'!M$31,'rates, dates, etc'!$N$2:$Z$10,8,FALSE)),IF('rates, dates, etc'!$B$7="Other",(HLOOKUP('rates, dates, etc'!M$31,'rates, dates, etc'!$N$2:$Z$10,7,FALSE)),(HLOOKUP('rates, dates, etc'!M$31,'rates, dates, etc'!$N$2:$Z$12,6,FALSE))))</f>
        <v>0.64</v>
      </c>
    </row>
    <row r="107" spans="1:26" x14ac:dyDescent="0.2">
      <c r="N107" s="2" t="str">
        <f>+'rates, dates, etc'!A36</f>
        <v/>
      </c>
      <c r="O107" s="1" t="str">
        <f>+'rates, dates, etc'!B36</f>
        <v/>
      </c>
      <c r="P107" s="1" t="str">
        <f>+'rates, dates, etc'!C36</f>
        <v/>
      </c>
      <c r="Q107" s="1" t="str">
        <f>+'rates, dates, etc'!D36</f>
        <v/>
      </c>
      <c r="R107" s="1" t="str">
        <f>+'rates, dates, etc'!E36</f>
        <v/>
      </c>
      <c r="S107" s="1" t="str">
        <f>+'rates, dates, etc'!F36</f>
        <v/>
      </c>
      <c r="T107" s="1" t="str">
        <f>+'rates, dates, etc'!G36</f>
        <v/>
      </c>
    </row>
    <row r="108" spans="1:26" x14ac:dyDescent="0.2">
      <c r="E108" s="344"/>
      <c r="F108" s="344"/>
      <c r="G108" s="344"/>
      <c r="H108" s="344"/>
      <c r="I108" s="344"/>
      <c r="J108" s="344"/>
      <c r="K108" s="344"/>
      <c r="L108" s="344"/>
      <c r="N108" s="1">
        <f>IF(OR('rates, dates, etc'!$B$26="Off",'rates, dates, etc'!$B$107="Off",'rates, dates, etc'!$B$188="Off",'rates, dates, etc'!$B$269="Off",'rates, dates, etc'!$B$350="Off",'rates, dates, etc'!$B$431="Off"),+'rates, dates, etc'!M9,0)</f>
        <v>0</v>
      </c>
      <c r="O108" s="1">
        <f>IF(OR('rates, dates, etc'!$B$26="Off",'rates, dates, etc'!$B$107="Off",'rates, dates, etc'!$B$188="Off",'rates, dates, etc'!$B$269="Off",'rates, dates, etc'!$B$350="Off",'rates, dates, etc'!$B$431="Off"),(HLOOKUP('rates, dates, etc'!B$31,'rates, dates, etc'!$N$2:$T$10,8,FALSE)),0)</f>
        <v>0</v>
      </c>
      <c r="P108" s="1">
        <f>IF(OR('rates, dates, etc'!$B$26="Off",'rates, dates, etc'!$B$107="Off",'rates, dates, etc'!$B$188="Off",'rates, dates, etc'!$B$269="Off",'rates, dates, etc'!$B$350="Off",'rates, dates, etc'!$B$431="Off"),(HLOOKUP('rates, dates, etc'!C$31,'rates, dates, etc'!$N$2:$T$10,8,FALSE)),0)</f>
        <v>0</v>
      </c>
      <c r="Q108" s="1">
        <f>IF(OR('rates, dates, etc'!$B$26="Off",'rates, dates, etc'!$B$107="Off",'rates, dates, etc'!$B$188="Off",'rates, dates, etc'!$B$269="Off",'rates, dates, etc'!$B$350="Off",'rates, dates, etc'!$B$431="Off"),(HLOOKUP('rates, dates, etc'!D$31,'rates, dates, etc'!$N$2:$T$10,8,FALSE)),0)</f>
        <v>0</v>
      </c>
      <c r="R108" s="1">
        <f>IF(OR('rates, dates, etc'!$B$26="Off",'rates, dates, etc'!$B$107="Off",'rates, dates, etc'!$B$188="Off",'rates, dates, etc'!$B$269="Off",'rates, dates, etc'!$B$350="Off",'rates, dates, etc'!$B$431="Off"),(HLOOKUP('rates, dates, etc'!E$31,'rates, dates, etc'!$N$2:$T$10,8,FALSE)),0)</f>
        <v>0</v>
      </c>
      <c r="S108" s="1">
        <f>IF(OR('rates, dates, etc'!$B$26="Off",'rates, dates, etc'!$B$107="Off",'rates, dates, etc'!$B$188="Off",'rates, dates, etc'!$B$269="Off",'rates, dates, etc'!$B$350="Off",'rates, dates, etc'!$B$431="Off"),(HLOOKUP('rates, dates, etc'!F$31,'rates, dates, etc'!$N$2:$T$10,8,FALSE)),0)</f>
        <v>0</v>
      </c>
      <c r="T108" s="1">
        <f>IF(OR('rates, dates, etc'!$B$26="Off",'rates, dates, etc'!$B$107="Off",'rates, dates, etc'!$B$188="Off",'rates, dates, etc'!$B$269="Off",'rates, dates, etc'!$B$350="Off",'rates, dates, etc'!$B$431="Off"),(HLOOKUP('rates, dates, etc'!G$31,'rates, dates, etc'!$N$2:$T$10,8,FALSE)),0)</f>
        <v>0</v>
      </c>
    </row>
    <row r="109" spans="1:26" x14ac:dyDescent="0.2">
      <c r="E109" s="345"/>
      <c r="F109" s="345"/>
      <c r="G109" s="345"/>
      <c r="H109" s="345"/>
      <c r="I109" s="345"/>
      <c r="J109" s="345"/>
      <c r="K109" s="345"/>
      <c r="L109" s="345"/>
      <c r="S109" s="345"/>
      <c r="T109" s="345"/>
    </row>
    <row r="110" spans="1:26" ht="10.5" x14ac:dyDescent="0.25">
      <c r="E110" s="345"/>
      <c r="F110" s="345"/>
      <c r="G110" s="345"/>
      <c r="H110" s="345"/>
      <c r="I110" s="345"/>
      <c r="J110" s="345"/>
      <c r="K110" s="345"/>
      <c r="L110" s="345"/>
      <c r="N110" s="47" t="s">
        <v>119</v>
      </c>
      <c r="O110" s="9" t="s">
        <v>36</v>
      </c>
      <c r="P110" s="9" t="s">
        <v>52</v>
      </c>
    </row>
    <row r="111" spans="1:26" x14ac:dyDescent="0.2">
      <c r="E111" s="345"/>
      <c r="F111" s="345"/>
      <c r="G111" s="345"/>
      <c r="H111" s="345"/>
      <c r="I111" s="345"/>
      <c r="J111" s="345"/>
      <c r="K111" s="345"/>
      <c r="L111" s="345"/>
      <c r="N111" s="48" t="s">
        <v>46</v>
      </c>
      <c r="O111" s="44">
        <f>+'rates, dates, etc'!P35</f>
        <v>12</v>
      </c>
      <c r="P111" s="44">
        <f>+'rates, dates, etc'!Q35</f>
        <v>1</v>
      </c>
    </row>
    <row r="112" spans="1:26" x14ac:dyDescent="0.2">
      <c r="E112" s="345"/>
      <c r="F112" s="345"/>
      <c r="G112" s="345"/>
      <c r="H112" s="345"/>
      <c r="I112" s="345"/>
      <c r="J112" s="345"/>
      <c r="K112" s="345"/>
      <c r="L112" s="345"/>
      <c r="N112" s="48" t="s">
        <v>47</v>
      </c>
      <c r="O112" s="44">
        <f>+'rates, dates, etc'!P36</f>
        <v>0</v>
      </c>
      <c r="P112" s="44">
        <f>+'rates, dates, etc'!Q36</f>
        <v>0</v>
      </c>
    </row>
    <row r="113" spans="2:24" x14ac:dyDescent="0.2"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N113" s="48"/>
      <c r="O113" s="49">
        <f>SUM(O111:O112)</f>
        <v>12</v>
      </c>
      <c r="P113" s="1" t="s">
        <v>83</v>
      </c>
    </row>
    <row r="114" spans="2:24" x14ac:dyDescent="0.2">
      <c r="N114" s="358"/>
    </row>
    <row r="115" spans="2:24" ht="11" thickBot="1" x14ac:dyDescent="0.3">
      <c r="N115" s="43" t="s">
        <v>71</v>
      </c>
      <c r="O115" s="9" t="str">
        <f>+'rates, dates, etc'!B79</f>
        <v>Year 1</v>
      </c>
      <c r="P115" s="9" t="str">
        <f>+'rates, dates, etc'!C79</f>
        <v>Year 2</v>
      </c>
      <c r="Q115" s="9" t="str">
        <f>+'rates, dates, etc'!D79</f>
        <v>Year 3</v>
      </c>
      <c r="R115" s="9" t="str">
        <f>+'rates, dates, etc'!E79</f>
        <v>Year 4</v>
      </c>
      <c r="S115" s="9" t="str">
        <f>+'rates, dates, etc'!F79</f>
        <v>Year 5</v>
      </c>
      <c r="T115" s="9" t="str">
        <f>+'rates, dates, etc'!G79</f>
        <v>Year 6</v>
      </c>
      <c r="U115" s="9" t="str">
        <f>+'rates, dates, etc'!H79</f>
        <v>Year 7</v>
      </c>
      <c r="V115" s="9" t="str">
        <f>+'rates, dates, etc'!I79</f>
        <v>Year 8</v>
      </c>
      <c r="W115" s="9" t="str">
        <f>+'rates, dates, etc'!J79</f>
        <v>Year 9</v>
      </c>
      <c r="X115" s="9" t="str">
        <f>+'rates, dates, etc'!K79</f>
        <v>Year 10</v>
      </c>
    </row>
    <row r="116" spans="2:24" x14ac:dyDescent="0.2"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N116" s="14" t="s">
        <v>32</v>
      </c>
      <c r="O116" s="15">
        <f>+'Lead Budget'!O65+'Co-PI Budget (1)'!O65+'Co-PI Budget (2)'!O67+'Co-PI Budget (3)'!O67+'Co-PI Budget (4)'!O67+'Co-PI Budget (5)'!O67</f>
        <v>0</v>
      </c>
      <c r="P116" s="15">
        <f>+'Lead Budget'!P65+'Co-PI Budget (1)'!P65+'Co-PI Budget (2)'!P67+'Co-PI Budget (3)'!P67+'Co-PI Budget (4)'!P67+'Co-PI Budget (5)'!P67</f>
        <v>0</v>
      </c>
      <c r="Q116" s="15">
        <f>+'Lead Budget'!Q65+'Co-PI Budget (1)'!Q65+'Co-PI Budget (2)'!Q67+'Co-PI Budget (3)'!Q67+'Co-PI Budget (4)'!Q67+'Co-PI Budget (5)'!Q67</f>
        <v>0</v>
      </c>
      <c r="R116" s="15">
        <f>+'Lead Budget'!R65+'Co-PI Budget (1)'!R65+'Co-PI Budget (2)'!R67+'Co-PI Budget (3)'!R67+'Co-PI Budget (4)'!R67+'Co-PI Budget (5)'!R67</f>
        <v>0</v>
      </c>
      <c r="S116" s="15">
        <f>+'Lead Budget'!S65+'Co-PI Budget (1)'!S65+'Co-PI Budget (2)'!S67+'Co-PI Budget (3)'!S67+'Co-PI Budget (4)'!S67+'Co-PI Budget (5)'!S67</f>
        <v>0</v>
      </c>
      <c r="T116" s="15">
        <f>+'Lead Budget'!T65+'Co-PI Budget (1)'!Y65+'Co-PI Budget (2)'!T67+'Co-PI Budget (3)'!T67+'Co-PI Budget (4)'!T67+'Co-PI Budget (5)'!T67</f>
        <v>0</v>
      </c>
      <c r="U116" s="15">
        <f>+'Lead Budget'!U65+'Co-PI Budget (1)'!Z65+'Co-PI Budget (2)'!U67+'Co-PI Budget (3)'!U67+'Co-PI Budget (4)'!U67+'Co-PI Budget (5)'!U67</f>
        <v>0</v>
      </c>
      <c r="V116" s="15">
        <f>+'Lead Budget'!V65+'Co-PI Budget (1)'!AA65+'Co-PI Budget (2)'!V67+'Co-PI Budget (3)'!V67+'Co-PI Budget (4)'!V67+'Co-PI Budget (5)'!V67</f>
        <v>0</v>
      </c>
      <c r="W116" s="15">
        <f>+'Lead Budget'!W65+'Co-PI Budget (1)'!AB65+'Co-PI Budget (2)'!W67+'Co-PI Budget (3)'!W67+'Co-PI Budget (4)'!W67+'Co-PI Budget (5)'!W67</f>
        <v>0</v>
      </c>
      <c r="X116" s="15">
        <f>+'Lead Budget'!X65+'Co-PI Budget (1)'!AC65+'Co-PI Budget (2)'!X67+'Co-PI Budget (3)'!X67+'Co-PI Budget (4)'!X67+'Co-PI Budget (5)'!X67</f>
        <v>0</v>
      </c>
    </row>
    <row r="117" spans="2:24" x14ac:dyDescent="0.2"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N117" s="3" t="s">
        <v>145</v>
      </c>
      <c r="O117" s="380">
        <f>+'Lead Budget'!O66+'Co-PI Budget (1)'!O66+'Co-PI Budget (2)'!O68+'Co-PI Budget (3)'!O68+'Co-PI Budget (4)'!O68+'Co-PI Budget (5)'!O68</f>
        <v>0</v>
      </c>
      <c r="P117" s="380">
        <f>+'Lead Budget'!P66+'Co-PI Budget (1)'!P66+'Co-PI Budget (2)'!P68+'Co-PI Budget (3)'!P68+'Co-PI Budget (4)'!P68+'Co-PI Budget (5)'!P68</f>
        <v>0</v>
      </c>
      <c r="Q117" s="380">
        <f>+'Lead Budget'!Q66+'Co-PI Budget (1)'!Q66+'Co-PI Budget (2)'!Q68+'Co-PI Budget (3)'!Q68+'Co-PI Budget (4)'!Q68+'Co-PI Budget (5)'!Q68</f>
        <v>0</v>
      </c>
      <c r="R117" s="380">
        <f>+'Lead Budget'!R66+'Co-PI Budget (1)'!R66+'Co-PI Budget (2)'!R68+'Co-PI Budget (3)'!R68+'Co-PI Budget (4)'!R68+'Co-PI Budget (5)'!R68</f>
        <v>0</v>
      </c>
      <c r="S117" s="380">
        <f>+'Lead Budget'!S66+'Co-PI Budget (1)'!S66+'Co-PI Budget (2)'!S68+'Co-PI Budget (3)'!S68+'Co-PI Budget (4)'!S68+'Co-PI Budget (5)'!S68</f>
        <v>0</v>
      </c>
      <c r="T117" s="380">
        <f>+'Lead Budget'!T66+'Co-PI Budget (1)'!T66+'Co-PI Budget (2)'!T68+'Co-PI Budget (3)'!T68+'Co-PI Budget (4)'!T68+'Co-PI Budget (5)'!T68</f>
        <v>0</v>
      </c>
      <c r="U117" s="380">
        <f>+'Lead Budget'!U66+'Co-PI Budget (1)'!U66+'Co-PI Budget (2)'!U68+'Co-PI Budget (3)'!U68+'Co-PI Budget (4)'!U68+'Co-PI Budget (5)'!U68</f>
        <v>0</v>
      </c>
      <c r="V117" s="380">
        <f>+'Lead Budget'!V66+'Co-PI Budget (1)'!V66+'Co-PI Budget (2)'!V68+'Co-PI Budget (3)'!V68+'Co-PI Budget (4)'!V68+'Co-PI Budget (5)'!V68</f>
        <v>0</v>
      </c>
      <c r="W117" s="380">
        <f>+'Lead Budget'!W66+'Co-PI Budget (1)'!W66+'Co-PI Budget (2)'!W68+'Co-PI Budget (3)'!W68+'Co-PI Budget (4)'!W68+'Co-PI Budget (5)'!W68</f>
        <v>0</v>
      </c>
      <c r="X117" s="380">
        <f>+'Lead Budget'!X66+'Co-PI Budget (1)'!X66+'Co-PI Budget (2)'!X68+'Co-PI Budget (3)'!X68+'Co-PI Budget (4)'!X68+'Co-PI Budget (5)'!X68</f>
        <v>0</v>
      </c>
    </row>
    <row r="118" spans="2:24" x14ac:dyDescent="0.2">
      <c r="B118" s="357"/>
      <c r="C118" s="357"/>
      <c r="D118" s="357"/>
      <c r="E118" s="357"/>
      <c r="F118" s="357"/>
      <c r="G118" s="357"/>
      <c r="H118" s="357"/>
      <c r="I118" s="357"/>
      <c r="J118" s="357"/>
      <c r="K118" s="357"/>
      <c r="N118" s="3" t="s">
        <v>146</v>
      </c>
      <c r="O118" s="380">
        <f>+'Lead Budget'!O67+'Co-PI Budget (1)'!O67+'Co-PI Budget (2)'!O69+'Co-PI Budget (3)'!O69+'Co-PI Budget (4)'!O69+'Co-PI Budget (5)'!O69</f>
        <v>0</v>
      </c>
      <c r="P118" s="380">
        <f>+'Lead Budget'!P67+'Co-PI Budget (1)'!P67+'Co-PI Budget (2)'!P69+'Co-PI Budget (3)'!P69+'Co-PI Budget (4)'!P69+'Co-PI Budget (5)'!P69</f>
        <v>0</v>
      </c>
      <c r="Q118" s="380">
        <f>+'Lead Budget'!Q67+'Co-PI Budget (1)'!Q67+'Co-PI Budget (2)'!Q69+'Co-PI Budget (3)'!Q69+'Co-PI Budget (4)'!Q69+'Co-PI Budget (5)'!Q69</f>
        <v>0</v>
      </c>
      <c r="R118" s="380">
        <f>+'Lead Budget'!R67+'Co-PI Budget (1)'!R67+'Co-PI Budget (2)'!R69+'Co-PI Budget (3)'!R69+'Co-PI Budget (4)'!R69+'Co-PI Budget (5)'!R69</f>
        <v>0</v>
      </c>
      <c r="S118" s="380">
        <f>+'Lead Budget'!S67+'Co-PI Budget (1)'!S67+'Co-PI Budget (2)'!S69+'Co-PI Budget (3)'!S69+'Co-PI Budget (4)'!S69+'Co-PI Budget (5)'!S69</f>
        <v>0</v>
      </c>
      <c r="T118" s="380">
        <f>+'Lead Budget'!T67+'Co-PI Budget (1)'!T67+'Co-PI Budget (2)'!T69+'Co-PI Budget (3)'!T69+'Co-PI Budget (4)'!T69+'Co-PI Budget (5)'!T69</f>
        <v>0</v>
      </c>
      <c r="U118" s="380">
        <f>+'Lead Budget'!U67+'Co-PI Budget (1)'!U67+'Co-PI Budget (2)'!U69+'Co-PI Budget (3)'!U69+'Co-PI Budget (4)'!U69+'Co-PI Budget (5)'!U69</f>
        <v>0</v>
      </c>
      <c r="V118" s="380">
        <f>+'Lead Budget'!V67+'Co-PI Budget (1)'!V67+'Co-PI Budget (2)'!V69+'Co-PI Budget (3)'!V69+'Co-PI Budget (4)'!V69+'Co-PI Budget (5)'!V69</f>
        <v>0</v>
      </c>
      <c r="W118" s="380">
        <f>+'Lead Budget'!W67+'Co-PI Budget (1)'!W67+'Co-PI Budget (2)'!W69+'Co-PI Budget (3)'!W69+'Co-PI Budget (4)'!W69+'Co-PI Budget (5)'!W69</f>
        <v>0</v>
      </c>
      <c r="X118" s="380">
        <f>+'Lead Budget'!X67+'Co-PI Budget (1)'!X67+'Co-PI Budget (2)'!X69+'Co-PI Budget (3)'!X69+'Co-PI Budget (4)'!X69+'Co-PI Budget (5)'!X69</f>
        <v>0</v>
      </c>
    </row>
    <row r="119" spans="2:24" x14ac:dyDescent="0.2">
      <c r="N119" s="3" t="s">
        <v>8</v>
      </c>
      <c r="O119" s="380">
        <f>+'Lead Budget'!O68+'Co-PI Budget (1)'!O68+'Co-PI Budget (2)'!O70+'Co-PI Budget (3)'!O70+'Co-PI Budget (4)'!O70+'Co-PI Budget (5)'!O70</f>
        <v>0</v>
      </c>
      <c r="P119" s="380">
        <f>+'Lead Budget'!P68+'Co-PI Budget (1)'!P68+'Co-PI Budget (2)'!P70+'Co-PI Budget (3)'!P70+'Co-PI Budget (4)'!P70+'Co-PI Budget (5)'!P70</f>
        <v>0</v>
      </c>
      <c r="Q119" s="380">
        <f>+'Lead Budget'!Q68+'Co-PI Budget (1)'!Q68+'Co-PI Budget (2)'!Q70+'Co-PI Budget (3)'!Q70+'Co-PI Budget (4)'!Q70+'Co-PI Budget (5)'!Q70</f>
        <v>0</v>
      </c>
      <c r="R119" s="380">
        <f>+'Lead Budget'!R68+'Co-PI Budget (1)'!R68+'Co-PI Budget (2)'!R70+'Co-PI Budget (3)'!R70+'Co-PI Budget (4)'!R70+'Co-PI Budget (5)'!R70</f>
        <v>0</v>
      </c>
      <c r="S119" s="380">
        <f>+'Lead Budget'!S68+'Co-PI Budget (1)'!S68+'Co-PI Budget (2)'!S70+'Co-PI Budget (3)'!S70+'Co-PI Budget (4)'!S70+'Co-PI Budget (5)'!S70</f>
        <v>0</v>
      </c>
      <c r="T119" s="380">
        <f>+'Lead Budget'!T68+'Co-PI Budget (1)'!T68+'Co-PI Budget (2)'!T70+'Co-PI Budget (3)'!T70+'Co-PI Budget (4)'!T70+'Co-PI Budget (5)'!T70</f>
        <v>0</v>
      </c>
      <c r="U119" s="380">
        <f>+'Lead Budget'!U68+'Co-PI Budget (1)'!U68+'Co-PI Budget (2)'!U70+'Co-PI Budget (3)'!U70+'Co-PI Budget (4)'!U70+'Co-PI Budget (5)'!U70</f>
        <v>0</v>
      </c>
      <c r="V119" s="380">
        <f>+'Lead Budget'!V68+'Co-PI Budget (1)'!V68+'Co-PI Budget (2)'!V70+'Co-PI Budget (3)'!V70+'Co-PI Budget (4)'!V70+'Co-PI Budget (5)'!V70</f>
        <v>0</v>
      </c>
      <c r="W119" s="380">
        <f>+'Lead Budget'!W68+'Co-PI Budget (1)'!W68+'Co-PI Budget (2)'!W70+'Co-PI Budget (3)'!W70+'Co-PI Budget (4)'!W70+'Co-PI Budget (5)'!W70</f>
        <v>0</v>
      </c>
      <c r="X119" s="380">
        <f>+'Lead Budget'!X68+'Co-PI Budget (1)'!X68+'Co-PI Budget (2)'!X70+'Co-PI Budget (3)'!X70+'Co-PI Budget (4)'!X70+'Co-PI Budget (5)'!X70</f>
        <v>0</v>
      </c>
    </row>
    <row r="120" spans="2:24" x14ac:dyDescent="0.2">
      <c r="N120" s="3" t="s">
        <v>9</v>
      </c>
      <c r="O120" s="380">
        <f>+'Lead Budget'!O69+'Co-PI Budget (1)'!O69+'Co-PI Budget (2)'!O71+'Co-PI Budget (3)'!O71+'Co-PI Budget (4)'!O71+'Co-PI Budget (5)'!O71</f>
        <v>0</v>
      </c>
      <c r="P120" s="380">
        <f>+'Lead Budget'!P69+'Co-PI Budget (1)'!P69+'Co-PI Budget (2)'!P71+'Co-PI Budget (3)'!P71+'Co-PI Budget (4)'!P71+'Co-PI Budget (5)'!P71</f>
        <v>0</v>
      </c>
      <c r="Q120" s="380">
        <f>+'Lead Budget'!Q69+'Co-PI Budget (1)'!Q69+'Co-PI Budget (2)'!Q71+'Co-PI Budget (3)'!Q71+'Co-PI Budget (4)'!Q71+'Co-PI Budget (5)'!Q71</f>
        <v>0</v>
      </c>
      <c r="R120" s="380">
        <f>+'Lead Budget'!R69+'Co-PI Budget (1)'!R69+'Co-PI Budget (2)'!R71+'Co-PI Budget (3)'!R71+'Co-PI Budget (4)'!R71+'Co-PI Budget (5)'!R71</f>
        <v>0</v>
      </c>
      <c r="S120" s="380">
        <f>+'Lead Budget'!S69+'Co-PI Budget (1)'!S69+'Co-PI Budget (2)'!S71+'Co-PI Budget (3)'!S71+'Co-PI Budget (4)'!S71+'Co-PI Budget (5)'!S71</f>
        <v>0</v>
      </c>
      <c r="T120" s="380">
        <f>+'Lead Budget'!T69+'Co-PI Budget (1)'!T69+'Co-PI Budget (2)'!T71+'Co-PI Budget (3)'!T71+'Co-PI Budget (4)'!T71+'Co-PI Budget (5)'!T71</f>
        <v>0</v>
      </c>
      <c r="U120" s="380">
        <f>+'Lead Budget'!U69+'Co-PI Budget (1)'!U69+'Co-PI Budget (2)'!U71+'Co-PI Budget (3)'!U71+'Co-PI Budget (4)'!U71+'Co-PI Budget (5)'!U71</f>
        <v>0</v>
      </c>
      <c r="V120" s="380">
        <f>+'Lead Budget'!V69+'Co-PI Budget (1)'!V69+'Co-PI Budget (2)'!V71+'Co-PI Budget (3)'!V71+'Co-PI Budget (4)'!V71+'Co-PI Budget (5)'!V71</f>
        <v>0</v>
      </c>
      <c r="W120" s="380">
        <f>+'Lead Budget'!W69+'Co-PI Budget (1)'!W69+'Co-PI Budget (2)'!W71+'Co-PI Budget (3)'!W71+'Co-PI Budget (4)'!W71+'Co-PI Budget (5)'!W71</f>
        <v>0</v>
      </c>
      <c r="X120" s="380">
        <f>+'Lead Budget'!X69+'Co-PI Budget (1)'!X69+'Co-PI Budget (2)'!X71+'Co-PI Budget (3)'!X71+'Co-PI Budget (4)'!X71+'Co-PI Budget (5)'!X71</f>
        <v>0</v>
      </c>
    </row>
    <row r="121" spans="2:24" ht="10.5" thickBot="1" x14ac:dyDescent="0.25">
      <c r="N121" s="13" t="s">
        <v>31</v>
      </c>
      <c r="O121" s="381">
        <f>ROUND(SUM(O117:O120),0)</f>
        <v>0</v>
      </c>
      <c r="P121" s="381">
        <f t="shared" ref="P121:S121" si="42">ROUND(SUM(P117:P120),0)</f>
        <v>0</v>
      </c>
      <c r="Q121" s="381">
        <f t="shared" si="42"/>
        <v>0</v>
      </c>
      <c r="R121" s="381">
        <f t="shared" si="42"/>
        <v>0</v>
      </c>
      <c r="S121" s="381">
        <f t="shared" si="42"/>
        <v>0</v>
      </c>
      <c r="T121" s="381">
        <f t="shared" ref="T121:X121" si="43">ROUND(SUM(T117:T120),0)</f>
        <v>0</v>
      </c>
      <c r="U121" s="381">
        <f t="shared" si="43"/>
        <v>0</v>
      </c>
      <c r="V121" s="381">
        <f t="shared" si="43"/>
        <v>0</v>
      </c>
      <c r="W121" s="381">
        <f t="shared" si="43"/>
        <v>0</v>
      </c>
      <c r="X121" s="381">
        <f t="shared" si="43"/>
        <v>0</v>
      </c>
    </row>
    <row r="122" spans="2:24" x14ac:dyDescent="0.2">
      <c r="B122" s="345"/>
      <c r="C122" s="345"/>
      <c r="D122" s="345"/>
      <c r="E122" s="345"/>
      <c r="F122" s="345"/>
      <c r="G122" s="345"/>
      <c r="H122" s="345"/>
      <c r="I122" s="345"/>
      <c r="J122" s="345"/>
      <c r="K122" s="345"/>
    </row>
    <row r="123" spans="2:24" x14ac:dyDescent="0.2">
      <c r="B123" s="345"/>
      <c r="C123" s="345"/>
      <c r="D123" s="345"/>
      <c r="E123" s="345"/>
      <c r="F123" s="345"/>
      <c r="G123" s="345"/>
      <c r="H123" s="345"/>
      <c r="I123" s="345"/>
      <c r="J123" s="345"/>
      <c r="K123" s="345"/>
    </row>
    <row r="124" spans="2:24" x14ac:dyDescent="0.2">
      <c r="B124" s="345"/>
      <c r="C124" s="345"/>
      <c r="D124" s="345"/>
      <c r="E124" s="345"/>
      <c r="F124" s="345"/>
      <c r="G124" s="345"/>
      <c r="H124" s="345"/>
      <c r="I124" s="345"/>
      <c r="J124" s="345"/>
      <c r="K124" s="345"/>
      <c r="O124" s="359">
        <f>+'Lead Budget'!L56</f>
        <v>0</v>
      </c>
      <c r="P124" s="382" t="str">
        <f ca="1">""&amp;MID('rates, dates, etc'!AR2,FIND("]",'rates, dates, etc'!AR2)+1,25)</f>
        <v>Lead Budget</v>
      </c>
      <c r="Q124" s="344"/>
    </row>
    <row r="125" spans="2:24" x14ac:dyDescent="0.2">
      <c r="O125" s="5">
        <f>+'Co-PI Budget (1)'!L56</f>
        <v>0</v>
      </c>
      <c r="P125" s="382" t="str">
        <f ca="1">""&amp;MID('rates, dates, etc'!AR3,FIND("]",'rates, dates, etc'!AR3)+1,25)</f>
        <v>Co-PI Budget (1)</v>
      </c>
      <c r="Q125" s="345"/>
    </row>
    <row r="126" spans="2:24" x14ac:dyDescent="0.2">
      <c r="B126" s="345"/>
      <c r="C126" s="345"/>
      <c r="D126" s="345"/>
      <c r="E126" s="345"/>
      <c r="F126" s="345"/>
      <c r="G126" s="345"/>
      <c r="H126" s="345"/>
      <c r="I126" s="345"/>
      <c r="J126" s="345"/>
      <c r="K126" s="345"/>
      <c r="O126" s="5">
        <f>+'Co-PI Budget (2)'!L58</f>
        <v>0</v>
      </c>
      <c r="P126" s="382" t="str">
        <f ca="1">""&amp;MID('rates, dates, etc'!AR4,FIND("]",'rates, dates, etc'!AR4)+1,25)</f>
        <v>Co-PI Budget (2)</v>
      </c>
      <c r="Q126" s="345"/>
    </row>
    <row r="127" spans="2:24" x14ac:dyDescent="0.2">
      <c r="O127" s="5">
        <f>+'Co-PI Budget (3)'!L58</f>
        <v>0</v>
      </c>
      <c r="P127" s="382" t="str">
        <f ca="1">""&amp;MID('rates, dates, etc'!AR5,FIND("]",'rates, dates, etc'!AR5)+1,25)</f>
        <v>Co-PI Budget (3)</v>
      </c>
      <c r="Q127" s="345"/>
    </row>
    <row r="128" spans="2:24" x14ac:dyDescent="0.2">
      <c r="O128" s="5">
        <f>+'Co-PI Budget (4)'!L58</f>
        <v>0</v>
      </c>
      <c r="P128" s="382" t="str">
        <f ca="1">""&amp;MID('rates, dates, etc'!AR6,FIND("]",'rates, dates, etc'!AR6)+1,25)</f>
        <v>Co-PI Budget (4)</v>
      </c>
      <c r="Q128" s="345"/>
    </row>
    <row r="129" spans="15:16" x14ac:dyDescent="0.2">
      <c r="O129" s="5">
        <f>+'Co-PI Budget (5)'!L58</f>
        <v>0</v>
      </c>
      <c r="P129" s="382" t="str">
        <f ca="1">""&amp;MID('rates, dates, etc'!AR7,FIND("]",'rates, dates, etc'!AR7)+1,25)</f>
        <v>Co-PI Budget (5)</v>
      </c>
    </row>
    <row r="130" spans="15:16" x14ac:dyDescent="0.2">
      <c r="O130" s="5">
        <f>SUM(O124:O129)</f>
        <v>0</v>
      </c>
      <c r="P130" s="383" t="s">
        <v>126</v>
      </c>
    </row>
  </sheetData>
  <conditionalFormatting sqref="A104:L104">
    <cfRule type="expression" dxfId="30" priority="11">
      <formula>$L$104&lt;$L$103</formula>
    </cfRule>
  </conditionalFormatting>
  <conditionalFormatting sqref="A103:L103">
    <cfRule type="expression" dxfId="29" priority="9">
      <formula>$L$103&lt;$L$104</formula>
    </cfRule>
  </conditionalFormatting>
  <conditionalFormatting sqref="O108">
    <cfRule type="cellIs" dxfId="28" priority="7" operator="equal">
      <formula>0</formula>
    </cfRule>
  </conditionalFormatting>
  <conditionalFormatting sqref="P108:T108">
    <cfRule type="cellIs" dxfId="27" priority="6" operator="equal">
      <formula>0</formula>
    </cfRule>
  </conditionalFormatting>
  <conditionalFormatting sqref="N108">
    <cfRule type="cellIs" dxfId="26" priority="5" operator="equal">
      <formula>0</formula>
    </cfRule>
  </conditionalFormatting>
  <conditionalFormatting sqref="A100:L100">
    <cfRule type="expression" dxfId="25" priority="4">
      <formula>$L$104&lt;$L$103</formula>
    </cfRule>
  </conditionalFormatting>
  <conditionalFormatting sqref="A99:L99">
    <cfRule type="expression" dxfId="24" priority="2">
      <formula>$L$103&lt;$L$104</formula>
    </cfRule>
  </conditionalFormatting>
  <printOptions horizontalCentered="1"/>
  <pageMargins left="0.75" right="0.53" top="0.7" bottom="0.64" header="0.5" footer="0.5"/>
  <pageSetup scale="66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stopIfTrue="1" id="{FDC8CF34-CB8D-4A91-90C7-0BF30AC95823}">
            <xm:f>'rates, dates, etc'!$B$8="Yes"</xm:f>
            <x14:dxf>
              <font>
                <color rgb="FFFF0000"/>
              </font>
            </x14:dxf>
          </x14:cfRule>
          <xm:sqref>A104:L104</xm:sqref>
        </x14:conditionalFormatting>
        <x14:conditionalFormatting xmlns:xm="http://schemas.microsoft.com/office/excel/2006/main">
          <x14:cfRule type="expression" priority="8" stopIfTrue="1" id="{75EB4731-FBFC-4080-8E2F-D73A1455510E}">
            <xm:f>'rates, dates, etc'!$B$8="Yes"</xm:f>
            <x14:dxf/>
          </x14:cfRule>
          <xm:sqref>A103:L103</xm:sqref>
        </x14:conditionalFormatting>
        <x14:conditionalFormatting xmlns:xm="http://schemas.microsoft.com/office/excel/2006/main">
          <x14:cfRule type="expression" priority="3" stopIfTrue="1" id="{498F252D-B6D8-4F18-9308-F48C8FFEF44B}">
            <xm:f>'rates, dates, etc'!$B$8="Yes"</xm:f>
            <x14:dxf>
              <font>
                <color rgb="FFFF0000"/>
              </font>
            </x14:dxf>
          </x14:cfRule>
          <xm:sqref>A100:L100</xm:sqref>
        </x14:conditionalFormatting>
        <x14:conditionalFormatting xmlns:xm="http://schemas.microsoft.com/office/excel/2006/main">
          <x14:cfRule type="expression" priority="1" stopIfTrue="1" id="{41B32B9D-7B58-450A-A162-4EA515617F29}">
            <xm:f>'rates, dates, etc'!$B$8="Yes"</xm:f>
            <x14:dxf/>
          </x14:cfRule>
          <xm:sqref>A99:L99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Z102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etc'!A14)</f>
        <v>Cornell University - Lead Budget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3" ht="11" thickBot="1" x14ac:dyDescent="0.3">
      <c r="A5" s="68" t="str">
        <f>CONCATENATE("PI: ",'rates, dates, etc'!B14)</f>
        <v>PI: 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F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ref="G6:K6" si="6">DATE(YEAR(G5), MONTH(G5) + 12, DAY(G5))-1</f>
        <v>47299</v>
      </c>
      <c r="H6" s="245">
        <f t="shared" si="6"/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etc'!A42</f>
        <v>PI</v>
      </c>
      <c r="B8" s="17">
        <f>HLOOKUP(B$4,'rates, dates, etc'!B41:L47,7,FALSE)</f>
        <v>0</v>
      </c>
      <c r="C8" s="17">
        <f>HLOOKUP(C$4,'rates, dates, etc'!C41:N47,7,FALSE)</f>
        <v>0</v>
      </c>
      <c r="D8" s="17">
        <f>HLOOKUP(D$4,'rates, dates, etc'!D41:O47,7,FALSE)</f>
        <v>0</v>
      </c>
      <c r="E8" s="17">
        <f>HLOOKUP(E$4,'rates, dates, etc'!E41:P47,7,FALSE)</f>
        <v>0</v>
      </c>
      <c r="F8" s="17">
        <f>HLOOKUP(F$4,'rates, dates, etc'!F41:Q47,7,FALSE)</f>
        <v>0</v>
      </c>
      <c r="G8" s="17">
        <f>HLOOKUP(G$4,'rates, dates, etc'!G41:R47,7,FALSE)</f>
        <v>0</v>
      </c>
      <c r="H8" s="17">
        <f>HLOOKUP(H$4,'rates, dates, etc'!H41:S47,7,FALSE)</f>
        <v>0</v>
      </c>
      <c r="I8" s="17">
        <f>HLOOKUP(I$4,'rates, dates, etc'!I41:T47,7,FALSE)</f>
        <v>0</v>
      </c>
      <c r="J8" s="17">
        <f>HLOOKUP(J$4,'rates, dates, etc'!J41:V47,7,FALSE)</f>
        <v>0</v>
      </c>
      <c r="K8" s="17">
        <f>HLOOKUP(K$4,'rates, dates, etc'!K41:V47,7,FALSE)</f>
        <v>0</v>
      </c>
      <c r="L8" s="83">
        <f>SUM(B8:K8)</f>
        <v>0</v>
      </c>
    </row>
    <row r="9" spans="1:13" x14ac:dyDescent="0.2">
      <c r="A9" s="3" t="str">
        <f>+'rates, dates, etc'!A50</f>
        <v>Co-PI</v>
      </c>
      <c r="B9" s="17">
        <f>HLOOKUP(B$4,'rates, dates, etc'!B49:L55,7,FALSE)</f>
        <v>0</v>
      </c>
      <c r="C9" s="17">
        <f>HLOOKUP(C$4,'rates, dates, etc'!C49:N55,7,FALSE)</f>
        <v>0</v>
      </c>
      <c r="D9" s="17">
        <f>HLOOKUP(D$4,'rates, dates, etc'!D49:O55,7,FALSE)</f>
        <v>0</v>
      </c>
      <c r="E9" s="17">
        <f>HLOOKUP(E$4,'rates, dates, etc'!E49:P55,7,FALSE)</f>
        <v>0</v>
      </c>
      <c r="F9" s="17">
        <f>HLOOKUP(F$4,'rates, dates, etc'!F49:Q55,7,FALSE)</f>
        <v>0</v>
      </c>
      <c r="G9" s="17">
        <f>HLOOKUP(G$4,'rates, dates, etc'!G49:R55,7,FALSE)</f>
        <v>0</v>
      </c>
      <c r="H9" s="17">
        <f>HLOOKUP(H$4,'rates, dates, etc'!H49:S55,7,FALSE)</f>
        <v>0</v>
      </c>
      <c r="I9" s="17">
        <f>HLOOKUP(I$4,'rates, dates, etc'!I49:T55,7,FALSE)</f>
        <v>0</v>
      </c>
      <c r="J9" s="17">
        <f>HLOOKUP(J$4,'rates, dates, etc'!J49:V55,7,FALSE)</f>
        <v>0</v>
      </c>
      <c r="K9" s="17">
        <f>HLOOKUP(K$4,'rates, dates, etc'!K49:V55,7,FALSE)</f>
        <v>0</v>
      </c>
      <c r="L9" s="83">
        <f t="shared" ref="L9:L10" si="7">SUM(B9:K9)</f>
        <v>0</v>
      </c>
    </row>
    <row r="10" spans="1:13" x14ac:dyDescent="0.2">
      <c r="A10" s="3" t="str">
        <f>+'rates, dates, etc'!A58</f>
        <v>Co-PI</v>
      </c>
      <c r="B10" s="17">
        <f>HLOOKUP(B$4,'rates, dates, etc'!B57:L63,7,FALSE)</f>
        <v>0</v>
      </c>
      <c r="C10" s="17">
        <f>HLOOKUP(C$4,'rates, dates, etc'!C57:N63,7,FALSE)</f>
        <v>0</v>
      </c>
      <c r="D10" s="17">
        <f>HLOOKUP(D$4,'rates, dates, etc'!D57:O63,7,FALSE)</f>
        <v>0</v>
      </c>
      <c r="E10" s="17">
        <f>HLOOKUP(E$4,'rates, dates, etc'!E57:P63,7,FALSE)</f>
        <v>0</v>
      </c>
      <c r="F10" s="17">
        <f>HLOOKUP(F$4,'rates, dates, etc'!F57:Q63,7,FALSE)</f>
        <v>0</v>
      </c>
      <c r="G10" s="17">
        <f>HLOOKUP(G$4,'rates, dates, etc'!G57:R63,7,FALSE)</f>
        <v>0</v>
      </c>
      <c r="H10" s="17">
        <f>HLOOKUP(H$4,'rates, dates, etc'!H57:S63,7,FALSE)</f>
        <v>0</v>
      </c>
      <c r="I10" s="17">
        <f>HLOOKUP(I$4,'rates, dates, etc'!I57:T63,7,FALSE)</f>
        <v>0</v>
      </c>
      <c r="J10" s="17">
        <f>HLOOKUP(J$4,'rates, dates, etc'!J57:V63,7,FALSE)</f>
        <v>0</v>
      </c>
      <c r="K10" s="17">
        <f>HLOOKUP(K$4,'rates, dates, etc'!K57:V63,7,FALSE)</f>
        <v>0</v>
      </c>
      <c r="L10" s="83">
        <f t="shared" si="7"/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etc'!A66</f>
        <v>Post Doctoral Scholar(s)</v>
      </c>
      <c r="B13" s="5">
        <f>HLOOKUP(B$4,'rates, dates, etc'!B65:I70,6,FALSE)</f>
        <v>0</v>
      </c>
      <c r="C13" s="5">
        <f>HLOOKUP(C$4,'rates, dates, etc'!C65:O70,6,FALSE)</f>
        <v>0</v>
      </c>
      <c r="D13" s="5">
        <f>HLOOKUP(D$4,'rates, dates, etc'!D65:P70,6,FALSE)</f>
        <v>0</v>
      </c>
      <c r="E13" s="5">
        <f>HLOOKUP(E$4,'rates, dates, etc'!E65:Q70,6,FALSE)</f>
        <v>0</v>
      </c>
      <c r="F13" s="5">
        <f>HLOOKUP(F$4,'rates, dates, etc'!F65:R70,6,FALSE)</f>
        <v>0</v>
      </c>
      <c r="G13" s="5">
        <f>HLOOKUP(G$4,'rates, dates, etc'!G65:S70,6,FALSE)</f>
        <v>0</v>
      </c>
      <c r="H13" s="5">
        <f>HLOOKUP(H$4,'rates, dates, etc'!H65:T70,6,FALSE)</f>
        <v>0</v>
      </c>
      <c r="I13" s="5">
        <f>HLOOKUP(I$4,'rates, dates, etc'!I65:U70,6,FALSE)</f>
        <v>0</v>
      </c>
      <c r="J13" s="5">
        <f>HLOOKUP(J$4,'rates, dates, etc'!J65:V70,6,FALSE)</f>
        <v>0</v>
      </c>
      <c r="K13" s="5">
        <f>HLOOKUP(K$4,'rates, dates, etc'!K65:W70,6,FALSE)</f>
        <v>0</v>
      </c>
      <c r="L13" s="83">
        <f>SUM(B13:K13)</f>
        <v>0</v>
      </c>
    </row>
    <row r="14" spans="1:13" x14ac:dyDescent="0.2">
      <c r="A14" s="3" t="str">
        <f>+'rates, dates, etc'!A73</f>
        <v>Other Professional(s) (Technicians, etc)</v>
      </c>
      <c r="B14" s="5">
        <f>HLOOKUP(B$4,'rates, dates, etc'!B72:I77,6,FALSE)</f>
        <v>0</v>
      </c>
      <c r="C14" s="5">
        <f>HLOOKUP(C$4,'rates, dates, etc'!C72:O77,6,FALSE)</f>
        <v>0</v>
      </c>
      <c r="D14" s="5">
        <f>HLOOKUP(D$4,'rates, dates, etc'!D72:P77,6,FALSE)</f>
        <v>0</v>
      </c>
      <c r="E14" s="5">
        <f>HLOOKUP(E$4,'rates, dates, etc'!E72:Q77,6,FALSE)</f>
        <v>0</v>
      </c>
      <c r="F14" s="5">
        <f>HLOOKUP(F$4,'rates, dates, etc'!F72:R77,6,FALSE)</f>
        <v>0</v>
      </c>
      <c r="G14" s="5">
        <f>HLOOKUP(G$4,'rates, dates, etc'!G72:S77,6,FALSE)</f>
        <v>0</v>
      </c>
      <c r="H14" s="5">
        <f>HLOOKUP(H$4,'rates, dates, etc'!H72:T77,6,FALSE)</f>
        <v>0</v>
      </c>
      <c r="I14" s="5">
        <f>HLOOKUP(I$4,'rates, dates, etc'!I72:U77,6,FALSE)</f>
        <v>0</v>
      </c>
      <c r="J14" s="5">
        <f>HLOOKUP(J$4,'rates, dates, etc'!J72:V77,6,FALSE)</f>
        <v>0</v>
      </c>
      <c r="K14" s="5">
        <f>HLOOKUP(K$4,'rates, dates, etc'!K72:W77,6,FALSE)</f>
        <v>0</v>
      </c>
      <c r="L14" s="83">
        <f t="shared" ref="L14:L17" si="10">SUM(B14:K14)</f>
        <v>0</v>
      </c>
    </row>
    <row r="15" spans="1:13" x14ac:dyDescent="0.2">
      <c r="A15" s="3" t="str">
        <f>+'rates, dates, etc'!A79</f>
        <v>Graduate Student(s)</v>
      </c>
      <c r="B15" s="5">
        <f>O66+O67</f>
        <v>0</v>
      </c>
      <c r="C15" s="5">
        <f t="shared" ref="C15:F15" si="11">P66+P67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>T66+T67</f>
        <v>0</v>
      </c>
      <c r="H15" s="5">
        <f t="shared" ref="H15:K15" si="12">U66+U67</f>
        <v>0</v>
      </c>
      <c r="I15" s="5">
        <f t="shared" si="12"/>
        <v>0</v>
      </c>
      <c r="J15" s="5">
        <f t="shared" si="12"/>
        <v>0</v>
      </c>
      <c r="K15" s="5">
        <f t="shared" si="12"/>
        <v>0</v>
      </c>
      <c r="L15" s="83">
        <f t="shared" si="10"/>
        <v>0</v>
      </c>
    </row>
    <row r="16" spans="1:13" x14ac:dyDescent="0.2">
      <c r="A16" s="3" t="str">
        <f>+'rates, dates, etc'!A84</f>
        <v>Undergraduate Student(s)</v>
      </c>
      <c r="B16" s="5">
        <f>+'rates, dates, etc'!B92</f>
        <v>0</v>
      </c>
      <c r="C16" s="5">
        <f>+'rates, dates, etc'!C92</f>
        <v>0</v>
      </c>
      <c r="D16" s="5">
        <f>+'rates, dates, etc'!D92</f>
        <v>0</v>
      </c>
      <c r="E16" s="5">
        <f>+'rates, dates, etc'!E92</f>
        <v>0</v>
      </c>
      <c r="F16" s="5">
        <f>+'rates, dates, etc'!F92</f>
        <v>0</v>
      </c>
      <c r="G16" s="5">
        <f>+'rates, dates, etc'!G92</f>
        <v>0</v>
      </c>
      <c r="H16" s="5">
        <f>+'rates, dates, etc'!H92</f>
        <v>0</v>
      </c>
      <c r="I16" s="5">
        <f>+'rates, dates, etc'!I92</f>
        <v>0</v>
      </c>
      <c r="J16" s="5">
        <f>+'rates, dates, etc'!J92</f>
        <v>0</v>
      </c>
      <c r="K16" s="5">
        <f>+'rates, dates, etc'!K92</f>
        <v>0</v>
      </c>
      <c r="L16" s="83">
        <f t="shared" si="10"/>
        <v>0</v>
      </c>
    </row>
    <row r="17" spans="1:16" x14ac:dyDescent="0.2">
      <c r="A17" s="3" t="str">
        <f>+'rates, dates, etc'!A95</f>
        <v>Other</v>
      </c>
      <c r="B17" s="5">
        <f>HLOOKUP(B$4,'rates, dates, etc'!B94:I99,6,FALSE)</f>
        <v>0</v>
      </c>
      <c r="C17" s="5">
        <f>HLOOKUP(C$4,'rates, dates, etc'!C94:O99,6,FALSE)</f>
        <v>0</v>
      </c>
      <c r="D17" s="5">
        <f>HLOOKUP(D$4,'rates, dates, etc'!D94:P99,6,FALSE)</f>
        <v>0</v>
      </c>
      <c r="E17" s="5">
        <f>HLOOKUP(E$4,'rates, dates, etc'!E94:Q99,6,FALSE)</f>
        <v>0</v>
      </c>
      <c r="F17" s="5">
        <f>HLOOKUP(F$4,'rates, dates, etc'!F94:R99,6,FALSE)</f>
        <v>0</v>
      </c>
      <c r="G17" s="5">
        <f>HLOOKUP(G$4,'rates, dates, etc'!G94:S99,6,FALSE)</f>
        <v>0</v>
      </c>
      <c r="H17" s="5">
        <f>HLOOKUP(H$4,'rates, dates, etc'!H94:T99,6,FALSE)</f>
        <v>0</v>
      </c>
      <c r="I17" s="5">
        <f>HLOOKUP(I$4,'rates, dates, etc'!I94:U99,6,FALSE)</f>
        <v>0</v>
      </c>
      <c r="J17" s="5">
        <f>HLOOKUP(J$4,'rates, dates, etc'!J94:V99,6,FALSE)</f>
        <v>0</v>
      </c>
      <c r="K17" s="5">
        <f>HLOOKUP(K$4,'rates, dates, etc'!K94:W99,6,FALSE)</f>
        <v>0</v>
      </c>
      <c r="L17" s="83">
        <f t="shared" si="10"/>
        <v>0</v>
      </c>
      <c r="N17" s="1"/>
      <c r="O17" s="1"/>
      <c r="P17" s="1"/>
    </row>
    <row r="18" spans="1:16" ht="10.5" thickBot="1" x14ac:dyDescent="0.25">
      <c r="A18" s="76" t="str">
        <f>CONCATENATE("Total ",A12)</f>
        <v>Total Other Personnel Salary</v>
      </c>
      <c r="B18" s="6">
        <f t="shared" ref="B18:L18" si="13">SUM(B12:B17)</f>
        <v>0</v>
      </c>
      <c r="C18" s="6">
        <f t="shared" si="13"/>
        <v>0</v>
      </c>
      <c r="D18" s="6">
        <f t="shared" si="13"/>
        <v>0</v>
      </c>
      <c r="E18" s="6">
        <f t="shared" si="13"/>
        <v>0</v>
      </c>
      <c r="F18" s="6">
        <f t="shared" si="13"/>
        <v>0</v>
      </c>
      <c r="G18" s="6">
        <f t="shared" ref="G18:K18" si="14">SUM(G12:G17)</f>
        <v>0</v>
      </c>
      <c r="H18" s="6">
        <f t="shared" si="14"/>
        <v>0</v>
      </c>
      <c r="I18" s="6">
        <f t="shared" si="14"/>
        <v>0</v>
      </c>
      <c r="J18" s="6">
        <f t="shared" si="14"/>
        <v>0</v>
      </c>
      <c r="K18" s="6">
        <f t="shared" si="14"/>
        <v>0</v>
      </c>
      <c r="L18" s="86">
        <f t="shared" si="13"/>
        <v>0</v>
      </c>
    </row>
    <row r="19" spans="1:16" ht="10.5" x14ac:dyDescent="0.25">
      <c r="A19" s="77" t="s">
        <v>7</v>
      </c>
      <c r="B19" s="17" t="s">
        <v>6</v>
      </c>
      <c r="C19" s="17"/>
      <c r="D19" s="17"/>
      <c r="E19" s="17"/>
      <c r="F19" s="17"/>
      <c r="G19" s="17"/>
      <c r="H19" s="17"/>
      <c r="I19" s="17"/>
      <c r="J19" s="17"/>
      <c r="K19" s="17"/>
      <c r="L19" s="83"/>
    </row>
    <row r="20" spans="1:16" x14ac:dyDescent="0.2">
      <c r="A20" s="3" t="str">
        <f>+A8</f>
        <v>PI</v>
      </c>
      <c r="B20" s="17">
        <f>IF('rates, dates, etc'!$O43=9,ROUND((+B8*O$76),0),ROUND((+B8*O$79*$P$87)+(B8*P$79*$P$88),0))</f>
        <v>0</v>
      </c>
      <c r="C20" s="17">
        <f>IF('rates, dates, etc'!$O43=9,ROUND((+C8*P$76),0),ROUND((+C8*P$79*$P$87)+(C8*Q$79*$P$88),0))</f>
        <v>0</v>
      </c>
      <c r="D20" s="17">
        <f>IF('rates, dates, etc'!$O43=9,ROUND((+D8*Q$76),0),ROUND((+D8*Q$79*$P$87)+(D8*R$79*$P$88),0))</f>
        <v>0</v>
      </c>
      <c r="E20" s="17">
        <f>IF('rates, dates, etc'!$O43=9,ROUND((+E8*R$76),0),ROUND((+E8*R$79*$P$87)+(E8*S$79*$P$88),0))</f>
        <v>0</v>
      </c>
      <c r="F20" s="17">
        <f>IF('rates, dates, etc'!$O43=9,ROUND((+F8*S$76),0),ROUND((+F8*S$79*$P$87)+(F8*T$79*$P$88),0))</f>
        <v>0</v>
      </c>
      <c r="G20" s="17">
        <f>IF('rates, dates, etc'!$O43=9,ROUND((+G8*T$76),0),ROUND((+G8*T$79*$P$87)+(G8*U$79*$P$88),0))</f>
        <v>0</v>
      </c>
      <c r="H20" s="17">
        <f>IF('rates, dates, etc'!$O43=9,ROUND((+H8*U$76),0),ROUND((+H8*U$79*$P$87)+(H8*V$79*$P$88),0))</f>
        <v>0</v>
      </c>
      <c r="I20" s="17">
        <f>IF('rates, dates, etc'!$O43=9,ROUND((+I8*V$76),0),ROUND((+I8*V$79*$P$87)+(I8*W$79*$P$88),0))</f>
        <v>0</v>
      </c>
      <c r="J20" s="17">
        <f>IF('rates, dates, etc'!$O43=9,ROUND((+J8*W$76),0),ROUND((+J8*W$79*$P$87)+(J8*X$79*$P$88),0))</f>
        <v>0</v>
      </c>
      <c r="K20" s="17">
        <f>IF('rates, dates, etc'!$O43=9,ROUND((+K8*X$76),0),ROUND((+K8*X$79*$P$87)+(K8*Y$79*$P$88),0))</f>
        <v>0</v>
      </c>
      <c r="L20" s="83">
        <f>SUM(B20:K20)</f>
        <v>0</v>
      </c>
    </row>
    <row r="21" spans="1:16" x14ac:dyDescent="0.2">
      <c r="A21" s="3" t="str">
        <f>+A9</f>
        <v>Co-PI</v>
      </c>
      <c r="B21" s="17">
        <f>IF('rates, dates, etc'!$O51=9,ROUND((+B9*O$76),0),ROUND((+B9*O$79*$P$87)+(B9*P$79*$P$88),0))</f>
        <v>0</v>
      </c>
      <c r="C21" s="17">
        <f>IF('rates, dates, etc'!$O51=9,ROUND((+C9*P$76),0),ROUND((+C9*P$79*$P$87)+(C9*Q$79*$P$88),0))</f>
        <v>0</v>
      </c>
      <c r="D21" s="17">
        <f>IF('rates, dates, etc'!$O51=9,ROUND((+D9*Q$76),0),ROUND((+D9*Q$79*$P$87)+(D9*R$79*$P$88),0))</f>
        <v>0</v>
      </c>
      <c r="E21" s="17">
        <f>IF('rates, dates, etc'!$O51=9,ROUND((+E9*R$76),0),ROUND((+E9*R$79*$P$87)+(E9*S$79*$P$88),0))</f>
        <v>0</v>
      </c>
      <c r="F21" s="17">
        <f>IF('rates, dates, etc'!$O51=9,ROUND((+F9*S$76),0),ROUND((+F9*S$79*$P$87)+(F9*T$79*$P$88),0))</f>
        <v>0</v>
      </c>
      <c r="G21" s="17">
        <f>IF('rates, dates, etc'!$O51=9,ROUND((+G9*T$76),0),ROUND((+G9*T$79*$P$87)+(G9*U$79*$P$88),0))</f>
        <v>0</v>
      </c>
      <c r="H21" s="17">
        <f>IF('rates, dates, etc'!$O51=9,ROUND((+H9*U$76),0),ROUND((+H9*U$79*$P$87)+(H9*V$79*$P$88),0))</f>
        <v>0</v>
      </c>
      <c r="I21" s="17">
        <f>IF('rates, dates, etc'!$O51=9,ROUND((+I9*V$76),0),ROUND((+I9*V$79*$P$87)+(I9*W$79*$P$88),0))</f>
        <v>0</v>
      </c>
      <c r="J21" s="17">
        <f>IF('rates, dates, etc'!$O51=9,ROUND((+J9*W$76),0),ROUND((+J9*W$79*$P$87)+(J9*X$79*$P$88),0))</f>
        <v>0</v>
      </c>
      <c r="K21" s="17">
        <f>IF('rates, dates, etc'!$O51=9,ROUND((+K9*X$76),0),ROUND((+K9*X$79*$P$87)+(K9*Y$79*$P$88),0))</f>
        <v>0</v>
      </c>
      <c r="L21" s="83">
        <f t="shared" ref="L21:L25" si="15">SUM(B21:K21)</f>
        <v>0</v>
      </c>
      <c r="N21" s="1"/>
      <c r="O21" s="1"/>
      <c r="P21" s="1"/>
    </row>
    <row r="22" spans="1:16" x14ac:dyDescent="0.2">
      <c r="A22" s="3" t="str">
        <f>+A10</f>
        <v>Co-PI</v>
      </c>
      <c r="B22" s="17">
        <f>IF('rates, dates, etc'!$O59=9,ROUND((+B10*O$76),0),ROUND((+B10*O$79*$P$87)+(B10*P$79*$P$88),0))</f>
        <v>0</v>
      </c>
      <c r="C22" s="17">
        <f>IF('rates, dates, etc'!$O59=9,ROUND((+C10*P$76),0),ROUND((+C10*P$79*$P$87)+(C10*Q$79*$P$88),0))</f>
        <v>0</v>
      </c>
      <c r="D22" s="17">
        <f>IF('rates, dates, etc'!$O59=9,ROUND((+D10*Q$76),0),ROUND((+D10*Q$79*$P$87)+(D10*R$79*$P$88),0))</f>
        <v>0</v>
      </c>
      <c r="E22" s="17">
        <f>IF('rates, dates, etc'!$O59=9,ROUND((+E10*R$76),0),ROUND((+E10*R$79*$P$87)+(E10*S$79*$P$88),0))</f>
        <v>0</v>
      </c>
      <c r="F22" s="17">
        <f>IF('rates, dates, etc'!$O59=9,ROUND((+F10*S$76),0),ROUND((+F10*S$79*$P$87)+(F10*T$79*$P$88),0))</f>
        <v>0</v>
      </c>
      <c r="G22" s="17">
        <f>IF('rates, dates, etc'!$O59=9,ROUND((+G10*T$76),0),ROUND((+G10*T$79*$P$87)+(G10*U$79*$P$88),0))</f>
        <v>0</v>
      </c>
      <c r="H22" s="17">
        <f>IF('rates, dates, etc'!$O59=9,ROUND((+H10*U$76),0),ROUND((+H10*U$79*$P$87)+(H10*V$79*$P$88),0))</f>
        <v>0</v>
      </c>
      <c r="I22" s="17">
        <f>IF('rates, dates, etc'!$O59=9,ROUND((+I10*V$76),0),ROUND((+I10*V$79*$P$87)+(I10*W$79*$P$88),0))</f>
        <v>0</v>
      </c>
      <c r="J22" s="17">
        <f>IF('rates, dates, etc'!$O59=9,ROUND((+J10*W$76),0),ROUND((+J10*W$79*$P$87)+(J10*X$79*$P$88),0))</f>
        <v>0</v>
      </c>
      <c r="K22" s="17">
        <f>IF('rates, dates, etc'!$O59=9,ROUND((+K10*X$76),0),ROUND((+K10*X$79*$P$87)+(K10*Y$79*$P$88),0))</f>
        <v>0</v>
      </c>
      <c r="L22" s="83">
        <f t="shared" si="15"/>
        <v>0</v>
      </c>
      <c r="N22" s="1"/>
      <c r="O22" s="1"/>
      <c r="P22" s="1"/>
    </row>
    <row r="23" spans="1:16" x14ac:dyDescent="0.2">
      <c r="A23" s="3" t="str">
        <f>+A13</f>
        <v>Post Doctoral Scholar(s)</v>
      </c>
      <c r="B23" s="17">
        <f t="shared" ref="B23:G24" si="16">ROUND((+B13*O80*$P$87)+(B13*P80*$P$88),0)</f>
        <v>0</v>
      </c>
      <c r="C23" s="17">
        <f t="shared" si="16"/>
        <v>0</v>
      </c>
      <c r="D23" s="17">
        <f t="shared" si="16"/>
        <v>0</v>
      </c>
      <c r="E23" s="17">
        <f t="shared" si="16"/>
        <v>0</v>
      </c>
      <c r="F23" s="17">
        <f t="shared" si="16"/>
        <v>0</v>
      </c>
      <c r="G23" s="17">
        <f t="shared" si="16"/>
        <v>0</v>
      </c>
      <c r="H23" s="17">
        <f t="shared" ref="H23:K23" si="17">ROUND((+H13*U80*$P$87)+(H13*V80*$P$88),0)</f>
        <v>0</v>
      </c>
      <c r="I23" s="17">
        <f t="shared" si="17"/>
        <v>0</v>
      </c>
      <c r="J23" s="17">
        <f t="shared" si="17"/>
        <v>0</v>
      </c>
      <c r="K23" s="17">
        <f t="shared" si="17"/>
        <v>0</v>
      </c>
      <c r="L23" s="83">
        <f t="shared" si="15"/>
        <v>0</v>
      </c>
    </row>
    <row r="24" spans="1:16" x14ac:dyDescent="0.2">
      <c r="A24" s="3" t="str">
        <f>+A14</f>
        <v>Other Professional(s) (Technicians, etc)</v>
      </c>
      <c r="B24" s="17">
        <f t="shared" si="16"/>
        <v>0</v>
      </c>
      <c r="C24" s="17">
        <f t="shared" si="16"/>
        <v>0</v>
      </c>
      <c r="D24" s="17">
        <f t="shared" si="16"/>
        <v>0</v>
      </c>
      <c r="E24" s="17">
        <f t="shared" si="16"/>
        <v>0</v>
      </c>
      <c r="F24" s="17">
        <f t="shared" si="16"/>
        <v>0</v>
      </c>
      <c r="G24" s="17">
        <f t="shared" si="16"/>
        <v>0</v>
      </c>
      <c r="H24" s="17">
        <f t="shared" ref="H24:K24" si="18">ROUND((+H14*U81*$P$87)+(H14*V81*$P$88),0)</f>
        <v>0</v>
      </c>
      <c r="I24" s="17">
        <f t="shared" si="18"/>
        <v>0</v>
      </c>
      <c r="J24" s="17">
        <f t="shared" si="18"/>
        <v>0</v>
      </c>
      <c r="K24" s="17">
        <f t="shared" si="18"/>
        <v>0</v>
      </c>
      <c r="L24" s="83">
        <f t="shared" si="15"/>
        <v>0</v>
      </c>
    </row>
    <row r="25" spans="1:16" x14ac:dyDescent="0.2">
      <c r="A25" s="3" t="str">
        <f>+A17</f>
        <v>Other</v>
      </c>
      <c r="B25" s="17">
        <f>IF('rates, dates, etc'!$O96=9,ROUND((+B17*O$76),0),ROUND((+B17*O$81*$P$87)+(B17*P$81*$P$88),0))</f>
        <v>0</v>
      </c>
      <c r="C25" s="17">
        <f>IF('rates, dates, etc'!$O96=9,ROUND((+C17*P$76),0),ROUND((+C17*P$81*$P$87)+(C17*Q$81*$P$88),0))</f>
        <v>0</v>
      </c>
      <c r="D25" s="17">
        <f>IF('rates, dates, etc'!$O96=9,ROUND((+D17*Q$76),0),ROUND((+D17*Q$81*$P$87)+(D17*R$81*$P$88),0))</f>
        <v>0</v>
      </c>
      <c r="E25" s="17">
        <f>IF('rates, dates, etc'!$O96=9,ROUND((+E17*R$76),0),ROUND((+E17*R$81*$P$87)+(E17*S$81*$P$88),0))</f>
        <v>0</v>
      </c>
      <c r="F25" s="17">
        <f>IF('rates, dates, etc'!$O96=9,ROUND((+F17*S$76),0),ROUND((+F17*S$81*$P$87)+(F17*T$81*$P$88),0))</f>
        <v>0</v>
      </c>
      <c r="G25" s="17">
        <f>IF('rates, dates, etc'!$O96=9,ROUND((+G17*T$76),0),ROUND((+G17*T$81*$P$87)+(G17*U$81*$P$88),0))</f>
        <v>0</v>
      </c>
      <c r="H25" s="17">
        <f>IF('rates, dates, etc'!$O96=9,ROUND((+H17*U$76),0),ROUND((+H17*U$81*$P$87)+(H17*V$81*$P$88),0))</f>
        <v>0</v>
      </c>
      <c r="I25" s="17">
        <f>IF('rates, dates, etc'!$O96=9,ROUND((+I17*V$76),0),ROUND((+I17*V$81*$P$87)+(I17*W$81*$P$88),0))</f>
        <v>0</v>
      </c>
      <c r="J25" s="17">
        <f>IF('rates, dates, etc'!$O96=9,ROUND((+J17*W$76),0),ROUND((+J17*W$81*$P$87)+(J17*X$81*$P$88),0))</f>
        <v>0</v>
      </c>
      <c r="K25" s="17">
        <f>IF('rates, dates, etc'!$O96=9,ROUND((+K17*X$76),0),ROUND((+K17*X$81*$P$87)+(K17*Y$81*$P$88),0))</f>
        <v>0</v>
      </c>
      <c r="L25" s="83">
        <f t="shared" si="15"/>
        <v>0</v>
      </c>
    </row>
    <row r="26" spans="1:16" ht="10.5" thickBot="1" x14ac:dyDescent="0.25">
      <c r="A26" s="76" t="str">
        <f>CONCATENATE("Total ",A19)</f>
        <v>Total Fringe Benefits</v>
      </c>
      <c r="B26" s="6">
        <f>SUM(B19:B25)</f>
        <v>0</v>
      </c>
      <c r="C26" s="6">
        <f>SUM(C19:C25)</f>
        <v>0</v>
      </c>
      <c r="D26" s="6">
        <f>SUM(D19:D25)</f>
        <v>0</v>
      </c>
      <c r="E26" s="6">
        <f t="shared" ref="E26:F26" si="19">SUM(E19:E25)</f>
        <v>0</v>
      </c>
      <c r="F26" s="6">
        <f t="shared" si="19"/>
        <v>0</v>
      </c>
      <c r="G26" s="6">
        <f t="shared" ref="G26:K26" si="20">SUM(G19:G25)</f>
        <v>0</v>
      </c>
      <c r="H26" s="6">
        <f t="shared" si="20"/>
        <v>0</v>
      </c>
      <c r="I26" s="6">
        <f t="shared" si="20"/>
        <v>0</v>
      </c>
      <c r="J26" s="6">
        <f t="shared" si="20"/>
        <v>0</v>
      </c>
      <c r="K26" s="6">
        <f t="shared" si="20"/>
        <v>0</v>
      </c>
      <c r="L26" s="86">
        <f>SUM(L19:L25)</f>
        <v>0</v>
      </c>
    </row>
    <row r="27" spans="1:16" ht="11" thickBot="1" x14ac:dyDescent="0.3">
      <c r="A27" s="130" t="s">
        <v>108</v>
      </c>
      <c r="B27" s="131">
        <f t="shared" ref="B27:G27" si="21">+B11+B18+B26</f>
        <v>0</v>
      </c>
      <c r="C27" s="131">
        <f t="shared" si="21"/>
        <v>0</v>
      </c>
      <c r="D27" s="131">
        <f t="shared" si="21"/>
        <v>0</v>
      </c>
      <c r="E27" s="131">
        <f t="shared" si="21"/>
        <v>0</v>
      </c>
      <c r="F27" s="131">
        <f t="shared" si="21"/>
        <v>0</v>
      </c>
      <c r="G27" s="131">
        <f t="shared" si="21"/>
        <v>0</v>
      </c>
      <c r="H27" s="131">
        <f t="shared" ref="H27" si="22">+H11+H18+H26</f>
        <v>0</v>
      </c>
      <c r="I27" s="131">
        <f t="shared" ref="I27" si="23">+I11+I18+I26</f>
        <v>0</v>
      </c>
      <c r="J27" s="131">
        <f t="shared" ref="J27" si="24">+J11+J18+J26</f>
        <v>0</v>
      </c>
      <c r="K27" s="131">
        <f t="shared" ref="K27" si="25">+K11+K18+K26</f>
        <v>0</v>
      </c>
      <c r="L27" s="132">
        <f>SUM(B27:K27)</f>
        <v>0</v>
      </c>
    </row>
    <row r="28" spans="1:16" ht="10.5" x14ac:dyDescent="0.25">
      <c r="A28" s="7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83"/>
    </row>
    <row r="29" spans="1:16" x14ac:dyDescent="0.2">
      <c r="A29" s="3" t="s">
        <v>62</v>
      </c>
      <c r="B29" s="344">
        <v>0</v>
      </c>
      <c r="C29" s="344">
        <v>0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0</v>
      </c>
      <c r="J29" s="344">
        <v>0</v>
      </c>
      <c r="K29" s="344">
        <v>0</v>
      </c>
      <c r="L29" s="83">
        <f>SUM(B29:F29)</f>
        <v>0</v>
      </c>
    </row>
    <row r="30" spans="1:16" ht="10.5" thickBot="1" x14ac:dyDescent="0.25">
      <c r="A30" s="76" t="str">
        <f>CONCATENATE("Total ",A28)</f>
        <v>Total Equipment</v>
      </c>
      <c r="B30" s="6">
        <f t="shared" ref="B30:L30" si="26">SUM(B28:B29)</f>
        <v>0</v>
      </c>
      <c r="C30" s="6">
        <f t="shared" si="26"/>
        <v>0</v>
      </c>
      <c r="D30" s="6">
        <f t="shared" si="26"/>
        <v>0</v>
      </c>
      <c r="E30" s="6">
        <f t="shared" si="26"/>
        <v>0</v>
      </c>
      <c r="F30" s="6">
        <f t="shared" si="26"/>
        <v>0</v>
      </c>
      <c r="G30" s="6">
        <f t="shared" ref="G30:K30" si="27">SUM(G28:G29)</f>
        <v>0</v>
      </c>
      <c r="H30" s="6">
        <f t="shared" si="27"/>
        <v>0</v>
      </c>
      <c r="I30" s="6">
        <f t="shared" si="27"/>
        <v>0</v>
      </c>
      <c r="J30" s="6">
        <f t="shared" si="27"/>
        <v>0</v>
      </c>
      <c r="K30" s="6">
        <f t="shared" si="27"/>
        <v>0</v>
      </c>
      <c r="L30" s="86">
        <f t="shared" si="26"/>
        <v>0</v>
      </c>
    </row>
    <row r="31" spans="1:16" ht="10.5" x14ac:dyDescent="0.25">
      <c r="A31" s="77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83"/>
    </row>
    <row r="32" spans="1:16" x14ac:dyDescent="0.2">
      <c r="A32" s="3" t="s">
        <v>10</v>
      </c>
      <c r="B32" s="344">
        <v>0</v>
      </c>
      <c r="C32" s="344">
        <v>0</v>
      </c>
      <c r="D32" s="344">
        <v>0</v>
      </c>
      <c r="E32" s="344">
        <v>0</v>
      </c>
      <c r="F32" s="344">
        <v>0</v>
      </c>
      <c r="G32" s="344">
        <v>0</v>
      </c>
      <c r="H32" s="344">
        <v>0</v>
      </c>
      <c r="I32" s="344">
        <v>0</v>
      </c>
      <c r="J32" s="344">
        <v>0</v>
      </c>
      <c r="K32" s="344">
        <v>0</v>
      </c>
      <c r="L32" s="83">
        <f>SUM(B32:K32)</f>
        <v>0</v>
      </c>
    </row>
    <row r="33" spans="1:16" x14ac:dyDescent="0.2">
      <c r="A33" s="3" t="s">
        <v>11</v>
      </c>
      <c r="B33" s="344">
        <v>0</v>
      </c>
      <c r="C33" s="344">
        <v>0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83">
        <f>SUM(B33:K33)</f>
        <v>0</v>
      </c>
    </row>
    <row r="34" spans="1:16" ht="10.5" thickBot="1" x14ac:dyDescent="0.25">
      <c r="A34" s="76" t="str">
        <f>CONCATENATE("Total ",A31)</f>
        <v>Total Travel</v>
      </c>
      <c r="B34" s="6">
        <f>SUM(B31:B33)</f>
        <v>0</v>
      </c>
      <c r="C34" s="6">
        <f>SUM(C31:C33)</f>
        <v>0</v>
      </c>
      <c r="D34" s="6">
        <f t="shared" ref="D34:F34" si="28">SUM(D31:D33)</f>
        <v>0</v>
      </c>
      <c r="E34" s="6">
        <f t="shared" si="28"/>
        <v>0</v>
      </c>
      <c r="F34" s="6">
        <f t="shared" si="28"/>
        <v>0</v>
      </c>
      <c r="G34" s="6">
        <f t="shared" ref="G34:K34" si="29">SUM(G31:G33)</f>
        <v>0</v>
      </c>
      <c r="H34" s="6">
        <f t="shared" si="29"/>
        <v>0</v>
      </c>
      <c r="I34" s="6">
        <f t="shared" si="29"/>
        <v>0</v>
      </c>
      <c r="J34" s="6">
        <f t="shared" si="29"/>
        <v>0</v>
      </c>
      <c r="K34" s="6">
        <f t="shared" si="29"/>
        <v>0</v>
      </c>
      <c r="L34" s="86">
        <f>SUM(L31:L33)</f>
        <v>0</v>
      </c>
    </row>
    <row r="35" spans="1:16" ht="10.5" x14ac:dyDescent="0.25">
      <c r="A35" s="77" t="s">
        <v>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83"/>
    </row>
    <row r="36" spans="1:16" x14ac:dyDescent="0.2">
      <c r="A36" s="3" t="s">
        <v>75</v>
      </c>
      <c r="B36" s="344">
        <v>0</v>
      </c>
      <c r="C36" s="344">
        <v>0</v>
      </c>
      <c r="D36" s="344">
        <v>0</v>
      </c>
      <c r="E36" s="344">
        <v>0</v>
      </c>
      <c r="F36" s="344">
        <v>0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83">
        <f>SUM(B36:K36)</f>
        <v>0</v>
      </c>
      <c r="N36" s="1"/>
      <c r="O36" s="1"/>
      <c r="P36" s="1"/>
    </row>
    <row r="37" spans="1:16" x14ac:dyDescent="0.2">
      <c r="A37" s="3" t="s">
        <v>42</v>
      </c>
      <c r="B37" s="344">
        <v>0</v>
      </c>
      <c r="C37" s="344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0</v>
      </c>
      <c r="J37" s="344">
        <v>0</v>
      </c>
      <c r="K37" s="344">
        <v>0</v>
      </c>
      <c r="L37" s="83">
        <f t="shared" ref="L37:L40" si="30">SUM(B37:K37)</f>
        <v>0</v>
      </c>
      <c r="N37" s="1"/>
      <c r="O37" s="1"/>
      <c r="P37" s="1"/>
    </row>
    <row r="38" spans="1:16" x14ac:dyDescent="0.2">
      <c r="A38" s="3" t="s">
        <v>34</v>
      </c>
      <c r="B38" s="344">
        <v>0</v>
      </c>
      <c r="C38" s="344">
        <v>0</v>
      </c>
      <c r="D38" s="344">
        <v>0</v>
      </c>
      <c r="E38" s="344">
        <v>0</v>
      </c>
      <c r="F38" s="344">
        <v>0</v>
      </c>
      <c r="G38" s="344">
        <v>0</v>
      </c>
      <c r="H38" s="344">
        <v>0</v>
      </c>
      <c r="I38" s="344">
        <v>0</v>
      </c>
      <c r="J38" s="344">
        <v>0</v>
      </c>
      <c r="K38" s="344">
        <v>0</v>
      </c>
      <c r="L38" s="83">
        <f t="shared" si="30"/>
        <v>0</v>
      </c>
      <c r="P38" s="1"/>
    </row>
    <row r="39" spans="1:16" x14ac:dyDescent="0.2">
      <c r="A39" s="3" t="s">
        <v>43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  <c r="G39" s="344">
        <v>0</v>
      </c>
      <c r="H39" s="344">
        <v>0</v>
      </c>
      <c r="I39" s="344">
        <v>0</v>
      </c>
      <c r="J39" s="344">
        <v>0</v>
      </c>
      <c r="K39" s="344">
        <v>0</v>
      </c>
      <c r="L39" s="83">
        <f t="shared" si="30"/>
        <v>0</v>
      </c>
    </row>
    <row r="40" spans="1:16" x14ac:dyDescent="0.2">
      <c r="A40" s="3" t="s">
        <v>29</v>
      </c>
      <c r="B40" s="344">
        <v>0</v>
      </c>
      <c r="C40" s="344">
        <v>0</v>
      </c>
      <c r="D40" s="344">
        <v>0</v>
      </c>
      <c r="E40" s="344">
        <v>0</v>
      </c>
      <c r="F40" s="344">
        <v>0</v>
      </c>
      <c r="G40" s="344">
        <v>0</v>
      </c>
      <c r="H40" s="344">
        <v>0</v>
      </c>
      <c r="I40" s="344">
        <v>0</v>
      </c>
      <c r="J40" s="344">
        <v>0</v>
      </c>
      <c r="K40" s="344">
        <v>0</v>
      </c>
      <c r="L40" s="83">
        <f t="shared" si="30"/>
        <v>0</v>
      </c>
    </row>
    <row r="41" spans="1:16" ht="10.5" thickBot="1" x14ac:dyDescent="0.25">
      <c r="A41" s="76" t="str">
        <f>CONCATENATE("Total ",A35)</f>
        <v>Total Participant Support Costs</v>
      </c>
      <c r="B41" s="6">
        <f>SUM(B35:B40)</f>
        <v>0</v>
      </c>
      <c r="C41" s="6">
        <f>SUM(C35:C40)</f>
        <v>0</v>
      </c>
      <c r="D41" s="6">
        <f t="shared" ref="D41:F41" si="31">SUM(D35:D40)</f>
        <v>0</v>
      </c>
      <c r="E41" s="6">
        <f t="shared" si="31"/>
        <v>0</v>
      </c>
      <c r="F41" s="6">
        <f t="shared" si="31"/>
        <v>0</v>
      </c>
      <c r="G41" s="6">
        <f t="shared" ref="G41:K41" si="32">SUM(G35:G40)</f>
        <v>0</v>
      </c>
      <c r="H41" s="6">
        <f t="shared" si="32"/>
        <v>0</v>
      </c>
      <c r="I41" s="6">
        <f t="shared" si="32"/>
        <v>0</v>
      </c>
      <c r="J41" s="6">
        <f t="shared" si="32"/>
        <v>0</v>
      </c>
      <c r="K41" s="6">
        <f t="shared" si="32"/>
        <v>0</v>
      </c>
      <c r="L41" s="86">
        <f>SUM(L35:L40)</f>
        <v>0</v>
      </c>
    </row>
    <row r="42" spans="1:16" ht="10.5" x14ac:dyDescent="0.25">
      <c r="A42" s="77" t="s">
        <v>13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83"/>
    </row>
    <row r="43" spans="1:16" x14ac:dyDescent="0.2">
      <c r="A43" s="3" t="s">
        <v>14</v>
      </c>
      <c r="B43" s="390">
        <v>0</v>
      </c>
      <c r="C43" s="390">
        <v>0</v>
      </c>
      <c r="D43" s="390">
        <v>0</v>
      </c>
      <c r="E43" s="390">
        <v>0</v>
      </c>
      <c r="F43" s="390">
        <v>0</v>
      </c>
      <c r="G43" s="390">
        <v>0</v>
      </c>
      <c r="H43" s="390">
        <v>0</v>
      </c>
      <c r="I43" s="390">
        <v>0</v>
      </c>
      <c r="J43" s="390">
        <v>0</v>
      </c>
      <c r="K43" s="390">
        <v>0</v>
      </c>
      <c r="L43" s="83">
        <f>SUM(B43:K43)</f>
        <v>0</v>
      </c>
    </row>
    <row r="44" spans="1:16" x14ac:dyDescent="0.2">
      <c r="A44" s="3" t="s">
        <v>183</v>
      </c>
      <c r="B44" s="344">
        <v>0</v>
      </c>
      <c r="C44" s="344">
        <v>0</v>
      </c>
      <c r="D44" s="344">
        <v>0</v>
      </c>
      <c r="E44" s="344">
        <v>0</v>
      </c>
      <c r="F44" s="344">
        <v>0</v>
      </c>
      <c r="G44" s="344">
        <v>0</v>
      </c>
      <c r="H44" s="344">
        <v>0</v>
      </c>
      <c r="I44" s="344">
        <v>0</v>
      </c>
      <c r="J44" s="344">
        <v>0</v>
      </c>
      <c r="K44" s="344">
        <v>0</v>
      </c>
      <c r="L44" s="83">
        <f t="shared" ref="L44:L51" si="33">SUM(B44:K44)</f>
        <v>0</v>
      </c>
    </row>
    <row r="45" spans="1:16" x14ac:dyDescent="0.2">
      <c r="A45" s="3" t="s">
        <v>15</v>
      </c>
      <c r="B45" s="344">
        <v>0</v>
      </c>
      <c r="C45" s="344">
        <v>0</v>
      </c>
      <c r="D45" s="344">
        <v>0</v>
      </c>
      <c r="E45" s="344">
        <v>0</v>
      </c>
      <c r="F45" s="344">
        <v>0</v>
      </c>
      <c r="G45" s="344">
        <v>0</v>
      </c>
      <c r="H45" s="344">
        <v>0</v>
      </c>
      <c r="I45" s="344">
        <v>0</v>
      </c>
      <c r="J45" s="344">
        <v>0</v>
      </c>
      <c r="K45" s="344">
        <v>0</v>
      </c>
      <c r="L45" s="83">
        <f t="shared" si="33"/>
        <v>0</v>
      </c>
    </row>
    <row r="46" spans="1:16" x14ac:dyDescent="0.2">
      <c r="A46" s="3" t="s">
        <v>184</v>
      </c>
      <c r="B46" s="344">
        <v>0</v>
      </c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4">
        <v>0</v>
      </c>
      <c r="I46" s="344">
        <v>0</v>
      </c>
      <c r="J46" s="344">
        <v>0</v>
      </c>
      <c r="K46" s="344">
        <v>0</v>
      </c>
      <c r="L46" s="83">
        <f t="shared" si="33"/>
        <v>0</v>
      </c>
    </row>
    <row r="47" spans="1:16" x14ac:dyDescent="0.2">
      <c r="A47" s="3" t="s">
        <v>41</v>
      </c>
      <c r="B47" s="359">
        <f>+'Consortium 1'!B57+'Consortium 2'!B57+'Consortium 3'!B57+'Consortium 4'!B57+'Consortium 5'!B57</f>
        <v>0</v>
      </c>
      <c r="C47" s="359">
        <f>+'Consortium 1'!C57+'Consortium 2'!C57+'Consortium 3'!C57+'Consortium 4'!C57+'Consortium 5'!C57</f>
        <v>0</v>
      </c>
      <c r="D47" s="359">
        <f>+'Consortium 1'!D57+'Consortium 2'!D57+'Consortium 3'!D57+'Consortium 4'!D57+'Consortium 5'!D57</f>
        <v>0</v>
      </c>
      <c r="E47" s="359">
        <f>+'Consortium 1'!E57+'Consortium 2'!E57+'Consortium 3'!E57+'Consortium 4'!E57+'Consortium 5'!E57</f>
        <v>0</v>
      </c>
      <c r="F47" s="359">
        <f>+'Consortium 1'!F57+'Consortium 2'!F57+'Consortium 3'!F57+'Consortium 4'!F57+'Consortium 5'!F57</f>
        <v>0</v>
      </c>
      <c r="G47" s="359">
        <f>+'Consortium 1'!G57+'Consortium 2'!G57+'Consortium 3'!G57+'Consortium 4'!G57+'Consortium 5'!G57</f>
        <v>0</v>
      </c>
      <c r="H47" s="359">
        <f>+'Consortium 1'!H57+'Consortium 2'!H57+'Consortium 3'!H57+'Consortium 4'!H57+'Consortium 5'!H57</f>
        <v>0</v>
      </c>
      <c r="I47" s="359">
        <f>+'Consortium 1'!I57+'Consortium 2'!I57+'Consortium 3'!I57+'Consortium 4'!I57+'Consortium 5'!I57</f>
        <v>0</v>
      </c>
      <c r="J47" s="359">
        <f>+'Consortium 1'!J57+'Consortium 2'!J57+'Consortium 3'!J57+'Consortium 4'!J57+'Consortium 5'!J57</f>
        <v>0</v>
      </c>
      <c r="K47" s="359">
        <f>+'Consortium 1'!K57+'Consortium 2'!K57+'Consortium 3'!K57+'Consortium 4'!K57+'Consortium 5'!K57</f>
        <v>0</v>
      </c>
      <c r="L47" s="83">
        <f t="shared" si="33"/>
        <v>0</v>
      </c>
    </row>
    <row r="48" spans="1:16" x14ac:dyDescent="0.2">
      <c r="A48" s="3" t="s">
        <v>148</v>
      </c>
      <c r="B48" s="359">
        <f>O68</f>
        <v>0</v>
      </c>
      <c r="C48" s="359">
        <f t="shared" ref="C48:F48" si="34">P68</f>
        <v>0</v>
      </c>
      <c r="D48" s="359">
        <f t="shared" si="34"/>
        <v>0</v>
      </c>
      <c r="E48" s="359">
        <f t="shared" si="34"/>
        <v>0</v>
      </c>
      <c r="F48" s="359">
        <f t="shared" si="34"/>
        <v>0</v>
      </c>
      <c r="G48" s="359">
        <f>T68</f>
        <v>0</v>
      </c>
      <c r="H48" s="359">
        <f t="shared" ref="H48:K48" si="35">U68</f>
        <v>0</v>
      </c>
      <c r="I48" s="359">
        <f t="shared" si="35"/>
        <v>0</v>
      </c>
      <c r="J48" s="359">
        <f t="shared" si="35"/>
        <v>0</v>
      </c>
      <c r="K48" s="359">
        <f t="shared" si="35"/>
        <v>0</v>
      </c>
      <c r="L48" s="83">
        <f t="shared" si="33"/>
        <v>0</v>
      </c>
    </row>
    <row r="49" spans="1:24" x14ac:dyDescent="0.2">
      <c r="A49" s="3" t="s">
        <v>147</v>
      </c>
      <c r="B49" s="359">
        <f>O69</f>
        <v>0</v>
      </c>
      <c r="C49" s="359">
        <f t="shared" ref="C49:F49" si="36">P69</f>
        <v>0</v>
      </c>
      <c r="D49" s="359">
        <f t="shared" si="36"/>
        <v>0</v>
      </c>
      <c r="E49" s="359">
        <f t="shared" si="36"/>
        <v>0</v>
      </c>
      <c r="F49" s="359">
        <f t="shared" si="36"/>
        <v>0</v>
      </c>
      <c r="G49" s="359">
        <f>T69</f>
        <v>0</v>
      </c>
      <c r="H49" s="359">
        <f t="shared" ref="H49:K49" si="37">U69</f>
        <v>0</v>
      </c>
      <c r="I49" s="359">
        <f t="shared" si="37"/>
        <v>0</v>
      </c>
      <c r="J49" s="359">
        <f t="shared" si="37"/>
        <v>0</v>
      </c>
      <c r="K49" s="359">
        <f t="shared" si="37"/>
        <v>0</v>
      </c>
      <c r="L49" s="83">
        <f t="shared" si="33"/>
        <v>0</v>
      </c>
    </row>
    <row r="50" spans="1:24" x14ac:dyDescent="0.2">
      <c r="A50" s="3" t="s">
        <v>29</v>
      </c>
      <c r="B50" s="344">
        <v>0</v>
      </c>
      <c r="C50" s="344">
        <v>0</v>
      </c>
      <c r="D50" s="344">
        <v>0</v>
      </c>
      <c r="E50" s="344">
        <v>0</v>
      </c>
      <c r="F50" s="344">
        <v>0</v>
      </c>
      <c r="G50" s="344">
        <v>0</v>
      </c>
      <c r="H50" s="344">
        <v>0</v>
      </c>
      <c r="I50" s="344">
        <v>0</v>
      </c>
      <c r="J50" s="344">
        <v>0</v>
      </c>
      <c r="K50" s="344">
        <v>0</v>
      </c>
      <c r="L50" s="83">
        <f t="shared" si="33"/>
        <v>0</v>
      </c>
    </row>
    <row r="51" spans="1:24" x14ac:dyDescent="0.2">
      <c r="A51" s="3" t="s">
        <v>29</v>
      </c>
      <c r="B51" s="344">
        <v>0</v>
      </c>
      <c r="C51" s="344">
        <v>0</v>
      </c>
      <c r="D51" s="344">
        <v>0</v>
      </c>
      <c r="E51" s="344">
        <v>0</v>
      </c>
      <c r="F51" s="344">
        <v>0</v>
      </c>
      <c r="G51" s="344">
        <v>0</v>
      </c>
      <c r="H51" s="344">
        <v>0</v>
      </c>
      <c r="I51" s="344">
        <v>0</v>
      </c>
      <c r="J51" s="344">
        <v>0</v>
      </c>
      <c r="K51" s="344">
        <v>0</v>
      </c>
      <c r="L51" s="83">
        <f t="shared" si="33"/>
        <v>0</v>
      </c>
      <c r="P51" s="1"/>
      <c r="S51" s="5"/>
      <c r="T51" s="5"/>
    </row>
    <row r="52" spans="1:24" ht="10.5" thickBot="1" x14ac:dyDescent="0.25">
      <c r="A52" s="76" t="str">
        <f>CONCATENATE("Total ",A42)</f>
        <v>Total Other Direct Costs</v>
      </c>
      <c r="B52" s="86">
        <f t="shared" ref="B52:L52" si="38">SUM(B42:B51)</f>
        <v>0</v>
      </c>
      <c r="C52" s="6">
        <f t="shared" si="38"/>
        <v>0</v>
      </c>
      <c r="D52" s="6">
        <f t="shared" si="38"/>
        <v>0</v>
      </c>
      <c r="E52" s="6">
        <f t="shared" si="38"/>
        <v>0</v>
      </c>
      <c r="F52" s="6">
        <f t="shared" si="38"/>
        <v>0</v>
      </c>
      <c r="G52" s="6">
        <f t="shared" ref="G52:K52" si="39">SUM(G42:G51)</f>
        <v>0</v>
      </c>
      <c r="H52" s="6">
        <f t="shared" si="39"/>
        <v>0</v>
      </c>
      <c r="I52" s="6">
        <f t="shared" si="39"/>
        <v>0</v>
      </c>
      <c r="J52" s="6">
        <f t="shared" si="39"/>
        <v>0</v>
      </c>
      <c r="K52" s="6">
        <f t="shared" si="39"/>
        <v>0</v>
      </c>
      <c r="L52" s="86">
        <f t="shared" si="38"/>
        <v>0</v>
      </c>
      <c r="S52" s="5"/>
      <c r="T52" s="5"/>
    </row>
    <row r="53" spans="1:24" ht="11" thickBot="1" x14ac:dyDescent="0.3">
      <c r="A53" s="82" t="s">
        <v>16</v>
      </c>
      <c r="B53" s="124">
        <f t="shared" ref="B53:L53" si="40">SUM(+B11+B18+B26+B30+B34+B41+B52)</f>
        <v>0</v>
      </c>
      <c r="C53" s="124">
        <f t="shared" si="40"/>
        <v>0</v>
      </c>
      <c r="D53" s="124">
        <f t="shared" si="40"/>
        <v>0</v>
      </c>
      <c r="E53" s="124">
        <f t="shared" si="40"/>
        <v>0</v>
      </c>
      <c r="F53" s="124">
        <f t="shared" si="40"/>
        <v>0</v>
      </c>
      <c r="G53" s="124">
        <f t="shared" ref="G53:K53" si="41">SUM(+G11+G18+G26+G30+G34+G41+G52)</f>
        <v>0</v>
      </c>
      <c r="H53" s="124">
        <f t="shared" si="41"/>
        <v>0</v>
      </c>
      <c r="I53" s="124">
        <f t="shared" si="41"/>
        <v>0</v>
      </c>
      <c r="J53" s="124">
        <f t="shared" si="41"/>
        <v>0</v>
      </c>
      <c r="K53" s="124">
        <f t="shared" si="41"/>
        <v>0</v>
      </c>
      <c r="L53" s="125">
        <f t="shared" si="40"/>
        <v>0</v>
      </c>
      <c r="S53" s="5"/>
      <c r="T53" s="5"/>
    </row>
    <row r="54" spans="1:24" ht="11" thickBot="1" x14ac:dyDescent="0.3">
      <c r="A54" s="71" t="s">
        <v>17</v>
      </c>
      <c r="B54" s="94">
        <f>+B53-(B48+B49+B41+B59+B30)</f>
        <v>0</v>
      </c>
      <c r="C54" s="94">
        <f t="shared" ref="C54:F54" si="42">+C53-(C48+C49+C41+C59+C30)</f>
        <v>0</v>
      </c>
      <c r="D54" s="94">
        <f t="shared" si="42"/>
        <v>0</v>
      </c>
      <c r="E54" s="94">
        <f t="shared" si="42"/>
        <v>0</v>
      </c>
      <c r="F54" s="94">
        <f t="shared" si="42"/>
        <v>0</v>
      </c>
      <c r="G54" s="94">
        <f t="shared" ref="G54:K54" si="43">+G53-(G48+G49+G41+G59+G30)</f>
        <v>0</v>
      </c>
      <c r="H54" s="94">
        <f t="shared" si="43"/>
        <v>0</v>
      </c>
      <c r="I54" s="94">
        <f t="shared" si="43"/>
        <v>0</v>
      </c>
      <c r="J54" s="94">
        <f t="shared" si="43"/>
        <v>0</v>
      </c>
      <c r="K54" s="94">
        <f t="shared" si="43"/>
        <v>0</v>
      </c>
      <c r="L54" s="81">
        <f>SUM(B54:K54)</f>
        <v>0</v>
      </c>
      <c r="M54" s="108"/>
      <c r="S54" s="5"/>
      <c r="T54" s="5"/>
    </row>
    <row r="55" spans="1:24" ht="11" thickBot="1" x14ac:dyDescent="0.3">
      <c r="A55" s="99" t="s">
        <v>18</v>
      </c>
      <c r="B55" s="126">
        <f>IF(AND('rates, dates, etc'!$B$8="no",'Budget Summary'!$L$99&lt;'Budget Summary'!$L$100),B61,B62)</f>
        <v>0</v>
      </c>
      <c r="C55" s="126">
        <f>IF(AND('rates, dates, etc'!$B$8="no",'Budget Summary'!$L$99&lt;'Budget Summary'!$L$100),C61,C62)</f>
        <v>0</v>
      </c>
      <c r="D55" s="126">
        <f>IF(AND('rates, dates, etc'!$B$8="no",'Budget Summary'!$L$99&lt;'Budget Summary'!$L$100),D61,D62)</f>
        <v>0</v>
      </c>
      <c r="E55" s="126">
        <f>IF(AND('rates, dates, etc'!$B$8="no",'Budget Summary'!$L$99&lt;'Budget Summary'!$L$100),E61,E62)</f>
        <v>0</v>
      </c>
      <c r="F55" s="126">
        <f>IF(AND('rates, dates, etc'!$B$8="no",'Budget Summary'!$L$99&lt;'Budget Summary'!$L$100),F61,F62)</f>
        <v>0</v>
      </c>
      <c r="G55" s="126">
        <f>IF(AND('rates, dates, etc'!$B$8="no",'Budget Summary'!$L$99&lt;'Budget Summary'!$L$100),G61,G62)</f>
        <v>0</v>
      </c>
      <c r="H55" s="126">
        <f>IF(AND('rates, dates, etc'!$B$8="no",'Budget Summary'!$L$99&lt;'Budget Summary'!$L$100),H61,H62)</f>
        <v>0</v>
      </c>
      <c r="I55" s="126">
        <f>IF(AND('rates, dates, etc'!$B$8="no",'Budget Summary'!$L$99&lt;'Budget Summary'!$L$100),I61,I62)</f>
        <v>0</v>
      </c>
      <c r="J55" s="126">
        <f>IF(AND('rates, dates, etc'!$B$8="no",'Budget Summary'!$L$99&lt;'Budget Summary'!$L$100),J61,J62)</f>
        <v>0</v>
      </c>
      <c r="K55" s="126">
        <f>IF(AND('rates, dates, etc'!$B$8="no",'Budget Summary'!$L$99&lt;'Budget Summary'!$L$100),K61,K62)</f>
        <v>0</v>
      </c>
      <c r="L55" s="127">
        <f>SUM(B55:K55)</f>
        <v>0</v>
      </c>
      <c r="M55" s="107"/>
      <c r="S55" s="5"/>
      <c r="T55" s="5"/>
    </row>
    <row r="56" spans="1:24" ht="11" thickBot="1" x14ac:dyDescent="0.3">
      <c r="A56" s="100" t="s">
        <v>19</v>
      </c>
      <c r="B56" s="128">
        <f>+B53+B55</f>
        <v>0</v>
      </c>
      <c r="C56" s="128">
        <f t="shared" ref="C56:F56" si="44">+C53+C55</f>
        <v>0</v>
      </c>
      <c r="D56" s="128">
        <f t="shared" si="44"/>
        <v>0</v>
      </c>
      <c r="E56" s="128">
        <f t="shared" si="44"/>
        <v>0</v>
      </c>
      <c r="F56" s="128">
        <f t="shared" si="44"/>
        <v>0</v>
      </c>
      <c r="G56" s="128">
        <f t="shared" ref="G56:K56" si="45">+G53+G55</f>
        <v>0</v>
      </c>
      <c r="H56" s="128">
        <f t="shared" si="45"/>
        <v>0</v>
      </c>
      <c r="I56" s="128">
        <f t="shared" si="45"/>
        <v>0</v>
      </c>
      <c r="J56" s="128">
        <f t="shared" si="45"/>
        <v>0</v>
      </c>
      <c r="K56" s="128">
        <f t="shared" si="45"/>
        <v>0</v>
      </c>
      <c r="L56" s="129">
        <f>SUM(B56:K56)</f>
        <v>0</v>
      </c>
      <c r="Q56" s="4"/>
      <c r="S56" s="5"/>
      <c r="T56" s="5"/>
    </row>
    <row r="57" spans="1:24" ht="10.5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Q57" s="4"/>
      <c r="S57" s="5"/>
      <c r="T57" s="5"/>
    </row>
    <row r="58" spans="1:24" ht="11" thickBot="1" x14ac:dyDescent="0.3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24" ht="11" thickBot="1" x14ac:dyDescent="0.3">
      <c r="A59" s="20" t="s">
        <v>40</v>
      </c>
      <c r="B59" s="87">
        <f>+'Consortium 1'!B64+'Consortium 2'!B64+'Consortium 3'!B64+'Consortium 4'!B64+'Consortium 5'!B64</f>
        <v>0</v>
      </c>
      <c r="C59" s="87">
        <f>+'Consortium 1'!C64+'Consortium 2'!C64+'Consortium 3'!C64+'Consortium 4'!C64+'Consortium 5'!C64</f>
        <v>0</v>
      </c>
      <c r="D59" s="87">
        <f>+'Consortium 1'!D64+'Consortium 2'!D64+'Consortium 3'!D64+'Consortium 4'!D64+'Consortium 5'!D64</f>
        <v>0</v>
      </c>
      <c r="E59" s="87">
        <f>+'Consortium 1'!E64+'Consortium 2'!E64+'Consortium 3'!E64+'Consortium 4'!E64+'Consortium 5'!E64</f>
        <v>0</v>
      </c>
      <c r="F59" s="87">
        <f>+'Consortium 1'!F64+'Consortium 2'!F64+'Consortium 3'!F64+'Consortium 4'!F64+'Consortium 5'!F64</f>
        <v>0</v>
      </c>
      <c r="G59" s="87">
        <f>+'Consortium 1'!G64+'Consortium 2'!G64+'Consortium 3'!G64+'Consortium 4'!G64+'Consortium 5'!G64</f>
        <v>0</v>
      </c>
      <c r="H59" s="87">
        <f>+'Consortium 1'!H64+'Consortium 2'!H64+'Consortium 3'!H64+'Consortium 4'!H64+'Consortium 5'!H64</f>
        <v>0</v>
      </c>
      <c r="I59" s="87">
        <f>+'Consortium 1'!I64+'Consortium 2'!I64+'Consortium 3'!I64+'Consortium 4'!I64+'Consortium 5'!I64</f>
        <v>0</v>
      </c>
      <c r="J59" s="87">
        <f>+'Consortium 1'!J64+'Consortium 2'!J64+'Consortium 3'!J64+'Consortium 4'!J64+'Consortium 5'!J64</f>
        <v>0</v>
      </c>
      <c r="K59" s="87">
        <f>+'Consortium 1'!K64+'Consortium 2'!K64+'Consortium 3'!K64+'Consortium 4'!K64+'Consortium 5'!K64</f>
        <v>0</v>
      </c>
      <c r="L59" s="92">
        <f>SUM(B59:K59)</f>
        <v>0</v>
      </c>
    </row>
    <row r="60" spans="1:24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4" ht="11" thickBot="1" x14ac:dyDescent="0.3">
      <c r="A61" s="90" t="s">
        <v>110</v>
      </c>
      <c r="B61" s="93">
        <f>IF('rates, dates, etc'!$B$8="Yes",0,ROUND((B53*O83*$P$87)+(B53*P83*$P$88),0))</f>
        <v>0</v>
      </c>
      <c r="C61" s="93">
        <f>IF('rates, dates, etc'!$B$8="Yes",0,ROUND((C53*P83*$P$87)+(C53*Q83*$P$88),0))</f>
        <v>0</v>
      </c>
      <c r="D61" s="93">
        <f>IF('rates, dates, etc'!$B$8="Yes",0,ROUND((D53*Q83*$P$87)+(D53*R83*$P$88),0))</f>
        <v>0</v>
      </c>
      <c r="E61" s="93">
        <f>IF('rates, dates, etc'!$B$8="Yes",0,ROUND((E53*R83*$P$87)+(E53*S83*$P$88),0))</f>
        <v>0</v>
      </c>
      <c r="F61" s="93">
        <f>IF('rates, dates, etc'!$B$8="Yes",0,ROUND((F53*S83*$P$87)+(F53*T83*$P$88),0))</f>
        <v>0</v>
      </c>
      <c r="G61" s="93">
        <f>IF('rates, dates, etc'!$B$8="Yes",0,ROUND((G53*T83*$P$87)+(G53*U83*$P$88),0))</f>
        <v>0</v>
      </c>
      <c r="H61" s="93">
        <f>IF('rates, dates, etc'!$B$8="Yes",0,ROUND((H53*U83*$P$87)+(H53*V83*$P$88),0))</f>
        <v>0</v>
      </c>
      <c r="I61" s="93">
        <f>IF('rates, dates, etc'!$B$8="Yes",0,ROUND((I53*V83*$P$87)+(I53*W83*$P$88),0))</f>
        <v>0</v>
      </c>
      <c r="J61" s="93">
        <f>IF('rates, dates, etc'!$B$8="Yes",0,ROUND((J53*W83*$P$87)+(J53*X83*$P$88),0))</f>
        <v>0</v>
      </c>
      <c r="K61" s="93">
        <f>IF('rates, dates, etc'!$B$8="Yes",0,ROUND((K53*X83*$P$87)+(K53*Y83*$P$88),0))</f>
        <v>0</v>
      </c>
      <c r="L61" s="93">
        <f>SUM(B61:K61)</f>
        <v>0</v>
      </c>
    </row>
    <row r="62" spans="1:24" ht="11" thickBot="1" x14ac:dyDescent="0.3">
      <c r="A62" s="91" t="s">
        <v>120</v>
      </c>
      <c r="B62" s="93">
        <f t="shared" ref="B62:K62" si="46">ROUND((B54*O84*$P$87)+(B54*P84*$P$88),0)</f>
        <v>0</v>
      </c>
      <c r="C62" s="95">
        <f t="shared" si="46"/>
        <v>0</v>
      </c>
      <c r="D62" s="95">
        <f t="shared" si="46"/>
        <v>0</v>
      </c>
      <c r="E62" s="95">
        <f t="shared" si="46"/>
        <v>0</v>
      </c>
      <c r="F62" s="95">
        <f t="shared" si="46"/>
        <v>0</v>
      </c>
      <c r="G62" s="95">
        <f t="shared" si="46"/>
        <v>0</v>
      </c>
      <c r="H62" s="95">
        <f t="shared" si="46"/>
        <v>0</v>
      </c>
      <c r="I62" s="95">
        <f t="shared" si="46"/>
        <v>0</v>
      </c>
      <c r="J62" s="95">
        <f t="shared" si="46"/>
        <v>0</v>
      </c>
      <c r="K62" s="95">
        <f t="shared" si="46"/>
        <v>0</v>
      </c>
      <c r="L62" s="93">
        <f>SUM(B62:K62)</f>
        <v>0</v>
      </c>
    </row>
    <row r="64" spans="1:24" ht="11" thickBot="1" x14ac:dyDescent="0.3">
      <c r="N64" s="43" t="s">
        <v>71</v>
      </c>
      <c r="O64" s="9" t="str">
        <f>+'rates, dates, etc'!B79</f>
        <v>Year 1</v>
      </c>
      <c r="P64" s="9" t="str">
        <f>+'rates, dates, etc'!C79</f>
        <v>Year 2</v>
      </c>
      <c r="Q64" s="9" t="str">
        <f>+'rates, dates, etc'!D79</f>
        <v>Year 3</v>
      </c>
      <c r="R64" s="9" t="str">
        <f>+'rates, dates, etc'!E79</f>
        <v>Year 4</v>
      </c>
      <c r="S64" s="9" t="str">
        <f>+'rates, dates, etc'!F79</f>
        <v>Year 5</v>
      </c>
      <c r="T64" s="9" t="str">
        <f>+'rates, dates, etc'!G79</f>
        <v>Year 6</v>
      </c>
      <c r="U64" s="9" t="str">
        <f>+'rates, dates, etc'!H79</f>
        <v>Year 7</v>
      </c>
      <c r="V64" s="9" t="str">
        <f>+'rates, dates, etc'!I79</f>
        <v>Year 8</v>
      </c>
      <c r="W64" s="9" t="str">
        <f>+'rates, dates, etc'!J79</f>
        <v>Year 9</v>
      </c>
      <c r="X64" s="9" t="str">
        <f>+'rates, dates, etc'!K79</f>
        <v>Year 10</v>
      </c>
    </row>
    <row r="65" spans="14:26" x14ac:dyDescent="0.2">
      <c r="N65" s="14" t="s">
        <v>32</v>
      </c>
      <c r="O65" s="15">
        <f>SUM('rates, dates, etc'!S74:S76)/3</f>
        <v>0</v>
      </c>
      <c r="P65" s="15">
        <f>SUM('rates, dates, etc'!T74:T76)/3</f>
        <v>0</v>
      </c>
      <c r="Q65" s="15">
        <f>SUM('rates, dates, etc'!U74:U76)/3</f>
        <v>0</v>
      </c>
      <c r="R65" s="15">
        <f>SUM('rates, dates, etc'!V74:V76)/3</f>
        <v>0</v>
      </c>
      <c r="S65" s="15">
        <f>SUM('rates, dates, etc'!W74:W76)/3</f>
        <v>0</v>
      </c>
      <c r="T65" s="15">
        <f>SUM('rates, dates, etc'!X74:X76)/3</f>
        <v>0</v>
      </c>
      <c r="U65" s="15">
        <f>SUM('rates, dates, etc'!Y74:Y76)/3</f>
        <v>0</v>
      </c>
      <c r="V65" s="15">
        <f>SUM('rates, dates, etc'!Z74:Z76)/3</f>
        <v>0</v>
      </c>
      <c r="W65" s="15">
        <f>SUM('rates, dates, etc'!AA74:AA76)/3</f>
        <v>0</v>
      </c>
      <c r="X65" s="15">
        <f>SUM('rates, dates, etc'!AB74:AB76)/3</f>
        <v>0</v>
      </c>
    </row>
    <row r="66" spans="14:26" x14ac:dyDescent="0.2">
      <c r="N66" s="3" t="s">
        <v>145</v>
      </c>
      <c r="O66" s="4">
        <f>(SUMIF('rates, dates, etc'!$R$90:$R$98,"Stipend (Fall)",'rates, dates, etc'!S90:S98))+
(SUMIF('rates, dates, etc'!$R$90:$R$98,"Stipend (Spring)",'rates, dates, etc'!S90:S98))</f>
        <v>0</v>
      </c>
      <c r="P66" s="4">
        <f>(SUMIF('rates, dates, etc'!$R$90:$R$98,"Stipend (Fall)",'rates, dates, etc'!T90:T98))+
(SUMIF('rates, dates, etc'!$R$90:$R$98,"Stipend (Spring)",'rates, dates, etc'!T90:T98))</f>
        <v>0</v>
      </c>
      <c r="Q66" s="4">
        <f>(SUMIF('rates, dates, etc'!$R$90:$R$98,"Stipend (Fall)",'rates, dates, etc'!U90:U98))+
(SUMIF('rates, dates, etc'!$R$90:$R$98,"Stipend (Spring)",'rates, dates, etc'!U90:U98))</f>
        <v>0</v>
      </c>
      <c r="R66" s="4">
        <f>(SUMIF('rates, dates, etc'!$R$90:$R$98,"Stipend (Fall)",'rates, dates, etc'!V90:V98))+
(SUMIF('rates, dates, etc'!$R$90:$R$98,"Stipend (Spring)",'rates, dates, etc'!V90:V98))</f>
        <v>0</v>
      </c>
      <c r="S66" s="4">
        <f>(SUMIF('rates, dates, etc'!$R$90:$R$98,"Stipend (Fall)",'rates, dates, etc'!W90:W98))+
(SUMIF('rates, dates, etc'!$R$90:$R$98,"Stipend (Spring)",'rates, dates, etc'!W90:W98))</f>
        <v>0</v>
      </c>
      <c r="T66" s="4">
        <f>(SUMIF('rates, dates, etc'!$R$90:$R$98,"Stipend (Fall)",'rates, dates, etc'!X90:X98))+
(SUMIF('rates, dates, etc'!$R$90:$R$98,"Stipend (Spring)",'rates, dates, etc'!X90:X98))</f>
        <v>0</v>
      </c>
      <c r="U66" s="4">
        <f>(SUMIF('rates, dates, etc'!$R$90:$R$98,"Stipend (Fall)",'rates, dates, etc'!Y90:Y98))+
(SUMIF('rates, dates, etc'!$R$90:$R$98,"Stipend (Spring)",'rates, dates, etc'!Y90:Y98))</f>
        <v>0</v>
      </c>
      <c r="V66" s="4">
        <f>(SUMIF('rates, dates, etc'!$R$90:$R$98,"Stipend (Fall)",'rates, dates, etc'!Z90:Z98))+
(SUMIF('rates, dates, etc'!$R$90:$R$98,"Stipend (Spring)",'rates, dates, etc'!Z90:Z98))</f>
        <v>0</v>
      </c>
      <c r="W66" s="4">
        <f>(SUMIF('rates, dates, etc'!$R$90:$R$98,"Stipend (Fall)",'rates, dates, etc'!AA90:AA98))+
(SUMIF('rates, dates, etc'!$R$90:$R$98,"Stipend (Spring)",'rates, dates, etc'!AA90:AA98))</f>
        <v>0</v>
      </c>
      <c r="X66" s="4">
        <f>(SUMIF('rates, dates, etc'!$R$90:$R$98,"Stipend (Fall)",'rates, dates, etc'!AB90:AB98))+
(SUMIF('rates, dates, etc'!$R$90:$R$98,"Stipend (Spring)",'rates, dates, etc'!AB90:AB98))</f>
        <v>0</v>
      </c>
    </row>
    <row r="67" spans="14:26" x14ac:dyDescent="0.2">
      <c r="N67" s="3" t="s">
        <v>146</v>
      </c>
      <c r="O67" s="4">
        <f>(SUMIF('rates, dates, etc'!$R$90:$R$98,"Stipend (Summer)",'rates, dates, etc'!S90:S98))</f>
        <v>0</v>
      </c>
      <c r="P67" s="4">
        <f>(SUMIF('rates, dates, etc'!$R$90:$R$98,"Stipend (Summer)",'rates, dates, etc'!T90:T98))</f>
        <v>0</v>
      </c>
      <c r="Q67" s="4">
        <f>(SUMIF('rates, dates, etc'!$R$90:$R$98,"Stipend (Summer)",'rates, dates, etc'!U90:U98))</f>
        <v>0</v>
      </c>
      <c r="R67" s="4">
        <f>(SUMIF('rates, dates, etc'!$R$90:$R$98,"Stipend (Summer)",'rates, dates, etc'!V90:V98))</f>
        <v>0</v>
      </c>
      <c r="S67" s="4">
        <f>(SUMIF('rates, dates, etc'!$R$90:$R$98,"Stipend (Summer)",'rates, dates, etc'!W90:W98))</f>
        <v>0</v>
      </c>
      <c r="T67" s="4">
        <f>(SUMIF('rates, dates, etc'!$R$90:$R$98,"Stipend (Summer)",'rates, dates, etc'!X90:X98))</f>
        <v>0</v>
      </c>
      <c r="U67" s="4">
        <f>(SUMIF('rates, dates, etc'!$R$90:$R$98,"Stipend (Summer)",'rates, dates, etc'!Y90:Y98))</f>
        <v>0</v>
      </c>
      <c r="V67" s="4">
        <f>(SUMIF('rates, dates, etc'!$R$90:$R$98,"Stipend (Summer)",'rates, dates, etc'!Z90:Z98))</f>
        <v>0</v>
      </c>
      <c r="W67" s="4">
        <f>(SUMIF('rates, dates, etc'!$R$90:$R$98,"Stipend (Summer)",'rates, dates, etc'!AA90:AA98))</f>
        <v>0</v>
      </c>
      <c r="X67" s="4">
        <f>(SUMIF('rates, dates, etc'!$R$90:$R$98,"Stipend (Summer)",'rates, dates, etc'!AB90:AB98))</f>
        <v>0</v>
      </c>
    </row>
    <row r="68" spans="14:26" x14ac:dyDescent="0.2">
      <c r="N68" s="3" t="s">
        <v>8</v>
      </c>
      <c r="O68" s="4">
        <f>(SUMIF('rates, dates, etc'!$R$90:$R$98,"Tuition (Fall)",'rates, dates, etc'!S90:S98))+
(SUMIF('rates, dates, etc'!$R$90:$R$98,"Tuition (Spring)",'rates, dates, etc'!S90:S98))+
(SUMIF('rates, dates, etc'!$R$90:$R$98,"Tuition (Summer)",'rates, dates, etc'!S90:S98))</f>
        <v>0</v>
      </c>
      <c r="P68" s="4">
        <f>(SUMIF('rates, dates, etc'!$R$90:$R$98,"Tuition (Fall)",'rates, dates, etc'!T90:T98))+
(SUMIF('rates, dates, etc'!$R$90:$R$98,"Tuition (Spring)",'rates, dates, etc'!T90:T98))+
(SUMIF('rates, dates, etc'!$R$90:$R$98,"Tuition (Summer)",'rates, dates, etc'!T90:T98))</f>
        <v>0</v>
      </c>
      <c r="Q68" s="4">
        <f>(SUMIF('rates, dates, etc'!$R$90:$R$98,"Tuition (Fall)",'rates, dates, etc'!U90:U98))+
(SUMIF('rates, dates, etc'!$R$90:$R$98,"Tuition (Spring)",'rates, dates, etc'!U90:U98))+
(SUMIF('rates, dates, etc'!$R$90:$R$98,"Tuition (Summer)",'rates, dates, etc'!U90:U98))</f>
        <v>0</v>
      </c>
      <c r="R68" s="4">
        <f>(SUMIF('rates, dates, etc'!$R$90:$R$98,"Tuition (Fall)",'rates, dates, etc'!V90:V98))+
(SUMIF('rates, dates, etc'!$R$90:$R$98,"Tuition (Spring)",'rates, dates, etc'!V90:V98))+
(SUMIF('rates, dates, etc'!$R$90:$R$98,"Tuition (Summer)",'rates, dates, etc'!V90:V98))</f>
        <v>0</v>
      </c>
      <c r="S68" s="4">
        <f>(SUMIF('rates, dates, etc'!$R$90:$R$98,"Tuition (Fall)",'rates, dates, etc'!W90:W98))+
(SUMIF('rates, dates, etc'!$R$90:$R$98,"Tuition (Spring)",'rates, dates, etc'!W90:W98))+
(SUMIF('rates, dates, etc'!$R$90:$R$98,"Tuition (Summer)",'rates, dates, etc'!W90:W98))</f>
        <v>0</v>
      </c>
      <c r="T68" s="4">
        <f>(SUMIF('rates, dates, etc'!$R$90:$R$98,"Tuition (Fall)",'rates, dates, etc'!X90:X98))+
(SUMIF('rates, dates, etc'!$R$90:$R$98,"Tuition (Spring)",'rates, dates, etc'!X90:X98))+
(SUMIF('rates, dates, etc'!$R$90:$R$98,"Tuition (Summer)",'rates, dates, etc'!X90:X98))</f>
        <v>0</v>
      </c>
      <c r="U68" s="4">
        <f>(SUMIF('rates, dates, etc'!$R$90:$R$98,"Tuition (Fall)",'rates, dates, etc'!Y90:Y98))+
(SUMIF('rates, dates, etc'!$R$90:$R$98,"Tuition (Spring)",'rates, dates, etc'!Y90:Y98))+
(SUMIF('rates, dates, etc'!$R$90:$R$98,"Tuition (Summer)",'rates, dates, etc'!Y90:Y98))</f>
        <v>0</v>
      </c>
      <c r="V68" s="4">
        <f>(SUMIF('rates, dates, etc'!$R$90:$R$98,"Tuition (Fall)",'rates, dates, etc'!Z90:Z98))+
(SUMIF('rates, dates, etc'!$R$90:$R$98,"Tuition (Spring)",'rates, dates, etc'!Z90:Z98))+
(SUMIF('rates, dates, etc'!$R$90:$R$98,"Tuition (Summer)",'rates, dates, etc'!Z90:Z98))</f>
        <v>0</v>
      </c>
      <c r="W68" s="4">
        <f>(SUMIF('rates, dates, etc'!$R$90:$R$98,"Tuition (Fall)",'rates, dates, etc'!AA90:AA98))+
(SUMIF('rates, dates, etc'!$R$90:$R$98,"Tuition (Spring)",'rates, dates, etc'!AA90:AA98))+
(SUMIF('rates, dates, etc'!$R$90:$R$98,"Tuition (Summer)",'rates, dates, etc'!AA90:AA98))</f>
        <v>0</v>
      </c>
      <c r="X68" s="4">
        <f>(SUMIF('rates, dates, etc'!$R$90:$R$98,"Tuition (Fall)",'rates, dates, etc'!AB90:AB98))+
(SUMIF('rates, dates, etc'!$R$90:$R$98,"Tuition (Spring)",'rates, dates, etc'!AB90:AB98))+
(SUMIF('rates, dates, etc'!$R$90:$R$98,"Tuition (Summer)",'rates, dates, etc'!AB90:AB98))</f>
        <v>0</v>
      </c>
    </row>
    <row r="69" spans="14:26" x14ac:dyDescent="0.2">
      <c r="N69" s="3" t="s">
        <v>9</v>
      </c>
      <c r="O69" s="4">
        <f>(SUMIF('rates, dates, etc'!$R$90:$R$98,"Health Insurance (Fall)",'rates, dates, etc'!S90:S98))+
(SUMIF('rates, dates, etc'!$R$90:$R$98,"Health Insurance (Spring)",'rates, dates, etc'!S90:S98))+
(SUMIF('rates, dates, etc'!$R$90:$R$98,"Health Insurance (Summer)",'rates, dates, etc'!S90:S98))</f>
        <v>0</v>
      </c>
      <c r="P69" s="4">
        <f>(SUMIF('rates, dates, etc'!$R$90:$R$98,"Health Insurance (Fall)",'rates, dates, etc'!T90:T98))+
(SUMIF('rates, dates, etc'!$R$90:$R$98,"Health Insurance (Spring)",'rates, dates, etc'!T90:T98))+
(SUMIF('rates, dates, etc'!$R$90:$R$98,"Health Insurance (Summer)",'rates, dates, etc'!T90:T98))</f>
        <v>0</v>
      </c>
      <c r="Q69" s="4">
        <f>(SUMIF('rates, dates, etc'!$R$90:$R$98,"Health Insurance (Fall)",'rates, dates, etc'!U90:U98))+
(SUMIF('rates, dates, etc'!$R$90:$R$98,"Health Insurance (Spring)",'rates, dates, etc'!U90:U98))+
(SUMIF('rates, dates, etc'!$R$90:$R$98,"Health Insurance (Summer)",'rates, dates, etc'!U90:U98))</f>
        <v>0</v>
      </c>
      <c r="R69" s="4">
        <f>(SUMIF('rates, dates, etc'!$R$90:$R$98,"Health Insurance (Fall)",'rates, dates, etc'!V90:V98))+
(SUMIF('rates, dates, etc'!$R$90:$R$98,"Health Insurance (Spring)",'rates, dates, etc'!V90:V98))+
(SUMIF('rates, dates, etc'!$R$90:$R$98,"Health Insurance (Summer)",'rates, dates, etc'!V90:V98))</f>
        <v>0</v>
      </c>
      <c r="S69" s="4">
        <f>(SUMIF('rates, dates, etc'!$R$90:$R$98,"Health Insurance (Fall)",'rates, dates, etc'!W90:W98))+
(SUMIF('rates, dates, etc'!$R$90:$R$98,"Health Insurance (Spring)",'rates, dates, etc'!W90:W98))+
(SUMIF('rates, dates, etc'!$R$90:$R$98,"Health Insurance (Summer)",'rates, dates, etc'!W90:W98))</f>
        <v>0</v>
      </c>
      <c r="T69" s="4">
        <f>(SUMIF('rates, dates, etc'!$R$90:$R$98,"Health Insurance (Fall)",'rates, dates, etc'!X90:X98))+
(SUMIF('rates, dates, etc'!$R$90:$R$98,"Health Insurance (Spring)",'rates, dates, etc'!X90:X98))+
(SUMIF('rates, dates, etc'!$R$90:$R$98,"Health Insurance (Summer)",'rates, dates, etc'!X90:X98))</f>
        <v>0</v>
      </c>
      <c r="U69" s="4">
        <f>(SUMIF('rates, dates, etc'!$R$90:$R$98,"Health Insurance (Fall)",'rates, dates, etc'!Y90:Y98))+
(SUMIF('rates, dates, etc'!$R$90:$R$98,"Health Insurance (Spring)",'rates, dates, etc'!Y90:Y98))+
(SUMIF('rates, dates, etc'!$R$90:$R$98,"Health Insurance (Summer)",'rates, dates, etc'!Y90:Y98))</f>
        <v>0</v>
      </c>
      <c r="V69" s="4">
        <f>(SUMIF('rates, dates, etc'!$R$90:$R$98,"Health Insurance (Fall)",'rates, dates, etc'!Z90:Z98))+
(SUMIF('rates, dates, etc'!$R$90:$R$98,"Health Insurance (Spring)",'rates, dates, etc'!Z90:Z98))+
(SUMIF('rates, dates, etc'!$R$90:$R$98,"Health Insurance (Summer)",'rates, dates, etc'!Z90:Z98))</f>
        <v>0</v>
      </c>
      <c r="W69" s="4">
        <f>(SUMIF('rates, dates, etc'!$R$90:$R$98,"Health Insurance (Fall)",'rates, dates, etc'!AA90:AA98))+
(SUMIF('rates, dates, etc'!$R$90:$R$98,"Health Insurance (Spring)",'rates, dates, etc'!AA90:AA98))+
(SUMIF('rates, dates, etc'!$R$90:$R$98,"Health Insurance (Summer)",'rates, dates, etc'!AA90:AA98))</f>
        <v>0</v>
      </c>
      <c r="X69" s="4">
        <f>(SUMIF('rates, dates, etc'!$R$90:$R$98,"Health Insurance (Fall)",'rates, dates, etc'!AB90:AB98))+
(SUMIF('rates, dates, etc'!$R$90:$R$98,"Health Insurance (Spring)",'rates, dates, etc'!AB90:AB98))+
(SUMIF('rates, dates, etc'!$R$90:$R$98,"Health Insurance (Summer)",'rates, dates, etc'!AB90:AB98))</f>
        <v>0</v>
      </c>
    </row>
    <row r="70" spans="14:26" ht="10.5" thickBot="1" x14ac:dyDescent="0.25">
      <c r="N70" s="13" t="s">
        <v>31</v>
      </c>
      <c r="O70" s="16">
        <f t="shared" ref="O70:T70" si="47">SUM(O66:O69)</f>
        <v>0</v>
      </c>
      <c r="P70" s="16">
        <f t="shared" si="47"/>
        <v>0</v>
      </c>
      <c r="Q70" s="16">
        <f t="shared" si="47"/>
        <v>0</v>
      </c>
      <c r="R70" s="16">
        <f t="shared" si="47"/>
        <v>0</v>
      </c>
      <c r="S70" s="16">
        <f t="shared" si="47"/>
        <v>0</v>
      </c>
      <c r="T70" s="16">
        <f t="shared" si="47"/>
        <v>0</v>
      </c>
      <c r="U70" s="16">
        <f t="shared" ref="U70" si="48">SUM(U66:U69)</f>
        <v>0</v>
      </c>
      <c r="V70" s="16">
        <f t="shared" ref="V70" si="49">SUM(V66:V69)</f>
        <v>0</v>
      </c>
      <c r="W70" s="16">
        <f t="shared" ref="W70" si="50">SUM(W66:W69)</f>
        <v>0</v>
      </c>
      <c r="X70" s="16">
        <f t="shared" ref="X70" si="51">SUM(X66:X69)</f>
        <v>0</v>
      </c>
    </row>
    <row r="74" spans="14:26" x14ac:dyDescent="0.2">
      <c r="N74" s="44" t="s">
        <v>33</v>
      </c>
    </row>
    <row r="75" spans="14:26" ht="10.5" x14ac:dyDescent="0.25">
      <c r="N75" s="64" t="s">
        <v>103</v>
      </c>
      <c r="O75" s="65" t="str">
        <f>+'rates, dates, etc'!AE5</f>
        <v>FY2024</v>
      </c>
      <c r="P75" s="65" t="str">
        <f>+'rates, dates, etc'!AF5</f>
        <v>FY2025</v>
      </c>
      <c r="Q75" s="65" t="str">
        <f>+'rates, dates, etc'!AG5</f>
        <v>FY2026</v>
      </c>
      <c r="R75" s="65" t="str">
        <f>+'rates, dates, etc'!AH5</f>
        <v>FY2027</v>
      </c>
      <c r="S75" s="65" t="str">
        <f>+'rates, dates, etc'!AI5</f>
        <v>FY2028</v>
      </c>
      <c r="T75" s="65" t="str">
        <f>+'rates, dates, etc'!AJ5</f>
        <v>FY2029</v>
      </c>
      <c r="U75" s="65" t="str">
        <f>+'rates, dates, etc'!AK5</f>
        <v>FY2030</v>
      </c>
      <c r="V75" s="65" t="str">
        <f>+'rates, dates, etc'!AL5</f>
        <v>FY2031</v>
      </c>
      <c r="W75" s="65" t="str">
        <f>+'rates, dates, etc'!AM5</f>
        <v>FY2032</v>
      </c>
      <c r="X75" s="65" t="str">
        <f>+'rates, dates, etc'!AN5</f>
        <v>FY2033</v>
      </c>
      <c r="Y75" s="65" t="str">
        <f>+'rates, dates, etc'!AO5</f>
        <v>FY2034</v>
      </c>
      <c r="Z75" s="65"/>
    </row>
    <row r="76" spans="14:26" x14ac:dyDescent="0.2">
      <c r="N76" s="2" t="str">
        <f>+'rates, dates, etc'!A32</f>
        <v xml:space="preserve">   Endowed - Senior Personnel</v>
      </c>
      <c r="O76" s="9">
        <f>IF('rates, dates, etc'!B31='rates, dates, etc'!AE5,'rates, dates, etc'!B32,'rates, dates, etc'!C32)</f>
        <v>0.37</v>
      </c>
      <c r="P76" s="9">
        <f>IF('rates, dates, etc'!C31='rates, dates, etc'!AF5,'rates, dates, etc'!C32,'rates, dates, etc'!D32)</f>
        <v>0.37</v>
      </c>
      <c r="Q76" s="9">
        <f>IF('rates, dates, etc'!D31='rates, dates, etc'!AG5,'rates, dates, etc'!D32,'rates, dates, etc'!E32)</f>
        <v>0.37</v>
      </c>
      <c r="R76" s="9">
        <f>IF('rates, dates, etc'!E31='rates, dates, etc'!AH5,'rates, dates, etc'!E32,'rates, dates, etc'!F32)</f>
        <v>0.37</v>
      </c>
      <c r="S76" s="9">
        <f>IF('rates, dates, etc'!F31='rates, dates, etc'!AI5,'rates, dates, etc'!F32,'rates, dates, etc'!G32)</f>
        <v>0.37</v>
      </c>
      <c r="T76" s="9">
        <f>IF('rates, dates, etc'!G31='rates, dates, etc'!AJ5,'rates, dates, etc'!G32,'rates, dates, etc'!H32)</f>
        <v>0.37</v>
      </c>
      <c r="U76" s="9">
        <f>IF('rates, dates, etc'!H31='rates, dates, etc'!AK5,'rates, dates, etc'!H32,'rates, dates, etc'!I32)</f>
        <v>0.37</v>
      </c>
      <c r="V76" s="9">
        <f>IF('rates, dates, etc'!I31='rates, dates, etc'!AL5,'rates, dates, etc'!I32,'rates, dates, etc'!J32)</f>
        <v>0.37</v>
      </c>
      <c r="W76" s="9">
        <f>IF('rates, dates, etc'!J31='rates, dates, etc'!AM5,'rates, dates, etc'!J32,'rates, dates, etc'!K32)</f>
        <v>0.37</v>
      </c>
      <c r="X76" s="9">
        <f>IF('rates, dates, etc'!K31='rates, dates, etc'!AN5,'rates, dates, etc'!K32,'rates, dates, etc'!L32)</f>
        <v>0.37</v>
      </c>
      <c r="Y76" s="9">
        <f>IF('rates, dates, etc'!L31='rates, dates, etc'!AO5,'rates, dates, etc'!L32,'rates, dates, etc'!M32)</f>
        <v>0.37</v>
      </c>
      <c r="Z76" s="9"/>
    </row>
    <row r="77" spans="14:26" x14ac:dyDescent="0.2">
      <c r="O77" s="1"/>
      <c r="P77" s="1"/>
    </row>
    <row r="78" spans="14:26" ht="10.5" x14ac:dyDescent="0.25">
      <c r="N78" s="64" t="s">
        <v>104</v>
      </c>
      <c r="O78" s="45" t="str">
        <f>+'rates, dates, etc'!AE4</f>
        <v>FY2024</v>
      </c>
      <c r="P78" s="45" t="str">
        <f>+'rates, dates, etc'!AF4</f>
        <v>FY2025</v>
      </c>
      <c r="Q78" s="45" t="str">
        <f>+'rates, dates, etc'!AG4</f>
        <v>FY2026</v>
      </c>
      <c r="R78" s="45" t="str">
        <f>+'rates, dates, etc'!AH4</f>
        <v>FY2027</v>
      </c>
      <c r="S78" s="45" t="str">
        <f>+'rates, dates, etc'!AI4</f>
        <v>FY2028</v>
      </c>
      <c r="T78" s="45" t="str">
        <f>+'rates, dates, etc'!AJ4</f>
        <v>FY2029</v>
      </c>
      <c r="U78" s="45" t="str">
        <f>+'rates, dates, etc'!AK4</f>
        <v>FY2030</v>
      </c>
      <c r="V78" s="45" t="str">
        <f>+'rates, dates, etc'!AL4</f>
        <v>FY2031</v>
      </c>
      <c r="W78" s="45" t="str">
        <f>+'rates, dates, etc'!AM4</f>
        <v>FY2032</v>
      </c>
      <c r="X78" s="45" t="str">
        <f>+'rates, dates, etc'!AN4</f>
        <v>FY2033</v>
      </c>
      <c r="Y78" s="45" t="str">
        <f>+'rates, dates, etc'!AO4</f>
        <v>FY2034</v>
      </c>
      <c r="Z78" s="45" t="str">
        <f>+'rates, dates, etc'!AP4</f>
        <v>FY2035</v>
      </c>
    </row>
    <row r="79" spans="14:26" x14ac:dyDescent="0.2">
      <c r="N79" s="2" t="str">
        <f>+'rates, dates, etc'!A32</f>
        <v xml:space="preserve">   Endowed - Senior Personnel</v>
      </c>
      <c r="O79" s="123">
        <f>+'rates, dates, etc'!B32</f>
        <v>0.37</v>
      </c>
      <c r="P79" s="123">
        <f>+'rates, dates, etc'!C32</f>
        <v>0.37</v>
      </c>
      <c r="Q79" s="123">
        <f>+'rates, dates, etc'!D32</f>
        <v>0.37</v>
      </c>
      <c r="R79" s="123">
        <f>+'rates, dates, etc'!E32</f>
        <v>0.37</v>
      </c>
      <c r="S79" s="123">
        <f>+'rates, dates, etc'!F32</f>
        <v>0.37</v>
      </c>
      <c r="T79" s="123">
        <f>+'rates, dates, etc'!G32</f>
        <v>0.37</v>
      </c>
      <c r="U79" s="123">
        <f>+'rates, dates, etc'!H32</f>
        <v>0.37</v>
      </c>
      <c r="V79" s="123">
        <f>+'rates, dates, etc'!I32</f>
        <v>0.37</v>
      </c>
      <c r="W79" s="123">
        <f>+'rates, dates, etc'!J32</f>
        <v>0.37</v>
      </c>
      <c r="X79" s="123">
        <f>+'rates, dates, etc'!K32</f>
        <v>0.37</v>
      </c>
      <c r="Y79" s="123">
        <f>+'rates, dates, etc'!L32</f>
        <v>0.37</v>
      </c>
      <c r="Z79" s="123">
        <f>+'rates, dates, etc'!M32</f>
        <v>0.37</v>
      </c>
    </row>
    <row r="80" spans="14:26" x14ac:dyDescent="0.2">
      <c r="N80" s="1" t="str">
        <f>+'rates, dates, etc'!A33</f>
        <v xml:space="preserve">   Endowed - Post Doc</v>
      </c>
      <c r="O80" s="1">
        <f>+'rates, dates, etc'!B33</f>
        <v>0.37</v>
      </c>
      <c r="P80" s="1">
        <f>+'rates, dates, etc'!C33</f>
        <v>0.37</v>
      </c>
      <c r="Q80" s="1">
        <f>+'rates, dates, etc'!D33</f>
        <v>0.37</v>
      </c>
      <c r="R80" s="1">
        <f>+'rates, dates, etc'!E33</f>
        <v>0.37</v>
      </c>
      <c r="S80" s="1">
        <f>+'rates, dates, etc'!F33</f>
        <v>0.37</v>
      </c>
      <c r="T80" s="1">
        <f>+'rates, dates, etc'!G33</f>
        <v>0.37</v>
      </c>
      <c r="U80" s="1">
        <f>+'rates, dates, etc'!H33</f>
        <v>0.37</v>
      </c>
      <c r="V80" s="1">
        <f>+'rates, dates, etc'!I33</f>
        <v>0.37</v>
      </c>
      <c r="W80" s="1">
        <f>+'rates, dates, etc'!J33</f>
        <v>0.37</v>
      </c>
      <c r="X80" s="1">
        <f>+'rates, dates, etc'!K33</f>
        <v>0.37</v>
      </c>
      <c r="Y80" s="1">
        <f>+'rates, dates, etc'!L33</f>
        <v>0.37</v>
      </c>
      <c r="Z80" s="1">
        <f>+'rates, dates, etc'!M33</f>
        <v>0.37</v>
      </c>
    </row>
    <row r="81" spans="14:26" x14ac:dyDescent="0.2">
      <c r="N81" s="1" t="str">
        <f>+'rates, dates, etc'!A34</f>
        <v xml:space="preserve">   Endowed - Other Employee</v>
      </c>
      <c r="O81" s="1">
        <f>+'rates, dates, etc'!B34</f>
        <v>0.37</v>
      </c>
      <c r="P81" s="1">
        <f>+'rates, dates, etc'!C34</f>
        <v>0.37</v>
      </c>
      <c r="Q81" s="1">
        <f>+'rates, dates, etc'!D34</f>
        <v>0.37</v>
      </c>
      <c r="R81" s="1">
        <f>+'rates, dates, etc'!E34</f>
        <v>0.37</v>
      </c>
      <c r="S81" s="1">
        <f>+'rates, dates, etc'!F34</f>
        <v>0.37</v>
      </c>
      <c r="T81" s="1">
        <f>+'rates, dates, etc'!G34</f>
        <v>0.37</v>
      </c>
      <c r="U81" s="1">
        <f>+'rates, dates, etc'!H34</f>
        <v>0.37</v>
      </c>
      <c r="V81" s="1">
        <f>+'rates, dates, etc'!I34</f>
        <v>0.37</v>
      </c>
      <c r="W81" s="1">
        <f>+'rates, dates, etc'!J34</f>
        <v>0.37</v>
      </c>
      <c r="X81" s="1">
        <f>+'rates, dates, etc'!K34</f>
        <v>0.37</v>
      </c>
      <c r="Y81" s="1">
        <f>+'rates, dates, etc'!L34</f>
        <v>0.37</v>
      </c>
      <c r="Z81" s="1">
        <f>+'rates, dates, etc'!M34</f>
        <v>0.37</v>
      </c>
    </row>
    <row r="83" spans="14:26" ht="10.5" x14ac:dyDescent="0.25">
      <c r="N83" s="64" t="str">
        <f>+'rates, dates, etc'!A36</f>
        <v/>
      </c>
      <c r="O83" s="9" t="str">
        <f>+'rates, dates, etc'!B36</f>
        <v/>
      </c>
      <c r="P83" s="9" t="str">
        <f>+'rates, dates, etc'!C36</f>
        <v/>
      </c>
      <c r="Q83" s="9" t="str">
        <f>+'rates, dates, etc'!D36</f>
        <v/>
      </c>
      <c r="R83" s="9" t="str">
        <f>+'rates, dates, etc'!E36</f>
        <v/>
      </c>
      <c r="S83" s="9" t="str">
        <f>+'rates, dates, etc'!F36</f>
        <v/>
      </c>
      <c r="T83" s="9" t="str">
        <f>+'rates, dates, etc'!G36</f>
        <v/>
      </c>
      <c r="U83" s="9" t="str">
        <f>+'rates, dates, etc'!H36</f>
        <v/>
      </c>
      <c r="V83" s="9" t="str">
        <f>+'rates, dates, etc'!I36</f>
        <v/>
      </c>
      <c r="W83" s="9" t="str">
        <f>+'rates, dates, etc'!J36</f>
        <v/>
      </c>
      <c r="X83" s="9" t="str">
        <f>+'rates, dates, etc'!K36</f>
        <v/>
      </c>
      <c r="Y83" s="9" t="str">
        <f>+'rates, dates, etc'!L36</f>
        <v/>
      </c>
      <c r="Z83" s="9" t="str">
        <f>+'rates, dates, etc'!M36</f>
        <v/>
      </c>
    </row>
    <row r="84" spans="14:26" ht="10.5" x14ac:dyDescent="0.25">
      <c r="N84" s="64" t="str">
        <f>+'rates, dates, etc'!A35</f>
        <v>Cornell IDC Rate - Endowed College</v>
      </c>
      <c r="O84" s="1">
        <f>+'rates, dates, etc'!B35</f>
        <v>0.64</v>
      </c>
      <c r="P84" s="1">
        <f>+'rates, dates, etc'!C35</f>
        <v>0.64</v>
      </c>
      <c r="Q84" s="1">
        <f>+'rates, dates, etc'!D35</f>
        <v>0.64</v>
      </c>
      <c r="R84" s="1">
        <f>+'rates, dates, etc'!E35</f>
        <v>0.64</v>
      </c>
      <c r="S84" s="1">
        <f>+'rates, dates, etc'!F35</f>
        <v>0.64</v>
      </c>
      <c r="T84" s="1">
        <f>+'rates, dates, etc'!G35</f>
        <v>0.64</v>
      </c>
      <c r="U84" s="1">
        <f>+'rates, dates, etc'!H35</f>
        <v>0.64</v>
      </c>
      <c r="V84" s="1">
        <f>+'rates, dates, etc'!I35</f>
        <v>0.64</v>
      </c>
      <c r="W84" s="1">
        <f>+'rates, dates, etc'!J35</f>
        <v>0.64</v>
      </c>
      <c r="X84" s="1">
        <f>+'rates, dates, etc'!K35</f>
        <v>0.64</v>
      </c>
      <c r="Y84" s="1">
        <f>+'rates, dates, etc'!L35</f>
        <v>0.64</v>
      </c>
      <c r="Z84" s="1">
        <f>+'rates, dates, etc'!M35</f>
        <v>0.64</v>
      </c>
    </row>
    <row r="85" spans="14:26" x14ac:dyDescent="0.2">
      <c r="S85" s="5"/>
      <c r="T85" s="5"/>
    </row>
    <row r="86" spans="14:26" ht="10.5" x14ac:dyDescent="0.25">
      <c r="N86" s="47" t="str">
        <f>+'rates, dates, etc'!O34</f>
        <v>Pro-rating factor for 12 month appts.:</v>
      </c>
      <c r="O86" s="9" t="s">
        <v>36</v>
      </c>
      <c r="P86" s="9" t="s">
        <v>52</v>
      </c>
      <c r="S86" s="5"/>
      <c r="T86" s="5"/>
    </row>
    <row r="87" spans="14:26" x14ac:dyDescent="0.2">
      <c r="N87" s="48" t="s">
        <v>46</v>
      </c>
      <c r="O87" s="44">
        <f>+'rates, dates, etc'!P35</f>
        <v>12</v>
      </c>
      <c r="P87" s="44">
        <f>+'rates, dates, etc'!Q35</f>
        <v>1</v>
      </c>
      <c r="S87" s="5"/>
      <c r="T87" s="5"/>
    </row>
    <row r="88" spans="14:26" x14ac:dyDescent="0.2">
      <c r="N88" s="48" t="s">
        <v>47</v>
      </c>
      <c r="O88" s="44">
        <f>+'rates, dates, etc'!P36</f>
        <v>0</v>
      </c>
      <c r="P88" s="44">
        <f>+'rates, dates, etc'!Q36</f>
        <v>0</v>
      </c>
    </row>
    <row r="89" spans="14:26" x14ac:dyDescent="0.2">
      <c r="N89" s="46"/>
      <c r="O89" s="49">
        <f>SUM(O87:O88)</f>
        <v>12</v>
      </c>
      <c r="P89" s="1" t="s">
        <v>83</v>
      </c>
    </row>
    <row r="90" spans="14:26" x14ac:dyDescent="0.2">
      <c r="N90" s="1"/>
      <c r="O90" s="1"/>
      <c r="P90" s="1"/>
    </row>
    <row r="102" spans="2:2" x14ac:dyDescent="0.2">
      <c r="B102" s="409">
        <f>'Lead Budget'!B6</f>
        <v>45473</v>
      </c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EB93BAC-44FD-407A-827D-67F2B1A59F09}">
            <xm:f>'Budget Summary'!$L$104&lt;'Budget Summary'!$L$103</xm:f>
            <x14:dxf>
              <font>
                <color rgb="FFFF0000"/>
              </font>
            </x14:dxf>
          </x14:cfRule>
          <xm:sqref>A62:F62 L62</xm:sqref>
        </x14:conditionalFormatting>
        <x14:conditionalFormatting xmlns:xm="http://schemas.microsoft.com/office/excel/2006/main">
          <x14:cfRule type="expression" priority="6" id="{65184439-F2A6-4007-A85F-C38B0B9D9F8A}">
            <xm:f>'Budget Summary'!$L$103&lt;'Budget Summary'!$L$104</xm:f>
            <x14:dxf>
              <font>
                <color rgb="FFFF0000"/>
              </font>
            </x14:dxf>
          </x14:cfRule>
          <xm:sqref>A61:L61</xm:sqref>
        </x14:conditionalFormatting>
        <x14:conditionalFormatting xmlns:xm="http://schemas.microsoft.com/office/excel/2006/main">
          <x14:cfRule type="expression" priority="7" stopIfTrue="1" id="{3E31303A-6918-418E-BDAF-10B64EF3ECC9}">
            <xm:f>'rates, dates, etc'!$B$8="Yes"</xm:f>
            <x14:dxf>
              <font>
                <color rgb="FFFF0000"/>
              </font>
            </x14:dxf>
          </x14:cfRule>
          <xm:sqref>A62:F62 L62</xm:sqref>
        </x14:conditionalFormatting>
        <x14:conditionalFormatting xmlns:xm="http://schemas.microsoft.com/office/excel/2006/main">
          <x14:cfRule type="expression" priority="5" stopIfTrue="1" id="{10377508-12E6-45B8-B59E-4D3CBAB326FE}">
            <xm:f>'rates, dates, etc'!$B$8="Yes"</xm:f>
            <x14:dxf/>
          </x14:cfRule>
          <xm:sqref>A61:L61</xm:sqref>
        </x14:conditionalFormatting>
        <x14:conditionalFormatting xmlns:xm="http://schemas.microsoft.com/office/excel/2006/main">
          <x14:cfRule type="expression" priority="4" id="{98331237-CA6B-4A1D-8CF5-8A39390FABD8}">
            <xm:f>'Budget Summary'!$L$104&lt;'Budget Summary'!$L$103</xm:f>
            <x14:dxf>
              <font>
                <color rgb="FFFF0000"/>
              </font>
            </x14:dxf>
          </x14:cfRule>
          <xm:sqref>G62:K62</xm:sqref>
        </x14:conditionalFormatting>
        <x14:conditionalFormatting xmlns:xm="http://schemas.microsoft.com/office/excel/2006/main">
          <x14:cfRule type="expression" priority="3" stopIfTrue="1" id="{351722A2-27C6-496D-BE6F-2DF5F501F9CE}">
            <xm:f>'rates, dates, etc'!$B$8="Yes"</xm:f>
            <x14:dxf>
              <font>
                <color rgb="FFFF0000"/>
              </font>
            </x14:dxf>
          </x14:cfRule>
          <xm:sqref>G62:K62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AA90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etc'!A15)</f>
        <v>Cornell University - Co-PI Budget (1)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3" ht="11" thickBot="1" x14ac:dyDescent="0.3">
      <c r="A5" s="68" t="str">
        <f>CONCATENATE("Co-PI: ",'rates, dates, etc'!B15)</f>
        <v>Co-PI: Co-PI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F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ref="G6:K6" si="6">DATE(YEAR(G5), MONTH(G5) + 12, DAY(G5))-1</f>
        <v>47299</v>
      </c>
      <c r="H6" s="245">
        <f t="shared" si="6"/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etc'!A123</f>
        <v>Co-PI</v>
      </c>
      <c r="B8" s="17">
        <f>HLOOKUP(B$4,'rates, dates, etc'!B122:I128,7,FALSE)</f>
        <v>0</v>
      </c>
      <c r="C8" s="17">
        <f>HLOOKUP(C$4,'rates, dates, etc'!C122:O128,7,FALSE)</f>
        <v>0</v>
      </c>
      <c r="D8" s="17">
        <f>HLOOKUP(D$4,'rates, dates, etc'!D122:P128,7,FALSE)</f>
        <v>0</v>
      </c>
      <c r="E8" s="17">
        <f>HLOOKUP(E$4,'rates, dates, etc'!E122:Q128,7,FALSE)</f>
        <v>0</v>
      </c>
      <c r="F8" s="17">
        <f>HLOOKUP(F$4,'rates, dates, etc'!F122:R128,7,FALSE)</f>
        <v>0</v>
      </c>
      <c r="G8" s="17">
        <f>HLOOKUP(G$4,'rates, dates, etc'!G122:S128,7,FALSE)</f>
        <v>0</v>
      </c>
      <c r="H8" s="17">
        <f>HLOOKUP(H$4,'rates, dates, etc'!H122:T128,7,FALSE)</f>
        <v>0</v>
      </c>
      <c r="I8" s="17">
        <f>HLOOKUP(I$4,'rates, dates, etc'!I122:U128,7,FALSE)</f>
        <v>0</v>
      </c>
      <c r="J8" s="17">
        <f>HLOOKUP(J$4,'rates, dates, etc'!J122:V128,7,FALSE)</f>
        <v>0</v>
      </c>
      <c r="K8" s="17">
        <f>HLOOKUP(K$4,'rates, dates, etc'!K122:W128,7,FALSE)</f>
        <v>0</v>
      </c>
      <c r="L8" s="83">
        <f>SUM(B8:K8)</f>
        <v>0</v>
      </c>
    </row>
    <row r="9" spans="1:13" x14ac:dyDescent="0.2">
      <c r="A9" s="3" t="str">
        <f>+'rates, dates, etc'!A131</f>
        <v>Co-PI</v>
      </c>
      <c r="B9" s="17">
        <f>HLOOKUP(B$4,'rates, dates, etc'!B130:I136,7,FALSE)</f>
        <v>0</v>
      </c>
      <c r="C9" s="17">
        <f>HLOOKUP(C$4,'rates, dates, etc'!C130:O136,7,FALSE)</f>
        <v>0</v>
      </c>
      <c r="D9" s="17">
        <f>HLOOKUP(D$4,'rates, dates, etc'!D130:P136,7,FALSE)</f>
        <v>0</v>
      </c>
      <c r="E9" s="17">
        <f>HLOOKUP(E$4,'rates, dates, etc'!E130:Q136,7,FALSE)</f>
        <v>0</v>
      </c>
      <c r="F9" s="17">
        <f>HLOOKUP(F$4,'rates, dates, etc'!F130:R136,7,FALSE)</f>
        <v>0</v>
      </c>
      <c r="G9" s="17">
        <f>HLOOKUP(G$4,'rates, dates, etc'!G130:S136,7,FALSE)</f>
        <v>0</v>
      </c>
      <c r="H9" s="17">
        <f>HLOOKUP(H$4,'rates, dates, etc'!H130:T136,7,FALSE)</f>
        <v>0</v>
      </c>
      <c r="I9" s="17">
        <f>HLOOKUP(I$4,'rates, dates, etc'!I130:U136,7,FALSE)</f>
        <v>0</v>
      </c>
      <c r="J9" s="17">
        <f>HLOOKUP(J$4,'rates, dates, etc'!J130:V136,7,FALSE)</f>
        <v>0</v>
      </c>
      <c r="K9" s="17">
        <f>HLOOKUP(K$4,'rates, dates, etc'!K130:W136,7,FALSE)</f>
        <v>0</v>
      </c>
      <c r="L9" s="83">
        <f t="shared" ref="L9:L10" si="7">SUM(B9:K9)</f>
        <v>0</v>
      </c>
    </row>
    <row r="10" spans="1:13" x14ac:dyDescent="0.2">
      <c r="A10" s="3" t="str">
        <f>+'rates, dates, etc'!A139</f>
        <v>Co-PI</v>
      </c>
      <c r="B10" s="17">
        <f>HLOOKUP(B$4,'rates, dates, etc'!B138:I144,7,FALSE)</f>
        <v>0</v>
      </c>
      <c r="C10" s="17">
        <f>HLOOKUP(C$4,'rates, dates, etc'!C138:O144,7,FALSE)</f>
        <v>0</v>
      </c>
      <c r="D10" s="17">
        <f>HLOOKUP(D$4,'rates, dates, etc'!D138:P144,7,FALSE)</f>
        <v>0</v>
      </c>
      <c r="E10" s="17">
        <f>HLOOKUP(E$4,'rates, dates, etc'!E138:Q144,7,FALSE)</f>
        <v>0</v>
      </c>
      <c r="F10" s="17">
        <f>HLOOKUP(F$4,'rates, dates, etc'!F138:R144,7,FALSE)</f>
        <v>0</v>
      </c>
      <c r="G10" s="17">
        <f>HLOOKUP(G$4,'rates, dates, etc'!G138:S144,7,FALSE)</f>
        <v>0</v>
      </c>
      <c r="H10" s="17">
        <f>HLOOKUP(H$4,'rates, dates, etc'!H138:T144,7,FALSE)</f>
        <v>0</v>
      </c>
      <c r="I10" s="17">
        <f>HLOOKUP(I$4,'rates, dates, etc'!I138:U144,7,FALSE)</f>
        <v>0</v>
      </c>
      <c r="J10" s="17">
        <f>HLOOKUP(J$4,'rates, dates, etc'!J138:V144,7,FALSE)</f>
        <v>0</v>
      </c>
      <c r="K10" s="17">
        <f>HLOOKUP(K$4,'rates, dates, etc'!K138:W144,7,FALSE)</f>
        <v>0</v>
      </c>
      <c r="L10" s="83">
        <f t="shared" si="7"/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etc'!A147</f>
        <v>Post Doctoral Scholar(s)</v>
      </c>
      <c r="B13" s="5">
        <f>HLOOKUP(B$4,'rates, dates, etc'!B146:I151,6,FALSE)</f>
        <v>0</v>
      </c>
      <c r="C13" s="5">
        <f>HLOOKUP(C$4,'rates, dates, etc'!C146:O151,6,FALSE)</f>
        <v>0</v>
      </c>
      <c r="D13" s="5">
        <f>HLOOKUP(D$4,'rates, dates, etc'!D146:P151,6,FALSE)</f>
        <v>0</v>
      </c>
      <c r="E13" s="5">
        <f>HLOOKUP(E$4,'rates, dates, etc'!E146:Q151,6,FALSE)</f>
        <v>0</v>
      </c>
      <c r="F13" s="5">
        <f>HLOOKUP(F$4,'rates, dates, etc'!F146:R151,6,FALSE)</f>
        <v>0</v>
      </c>
      <c r="G13" s="5">
        <f>HLOOKUP(G$4,'rates, dates, etc'!G146:S151,6,FALSE)</f>
        <v>0</v>
      </c>
      <c r="H13" s="5">
        <f>HLOOKUP(H$4,'rates, dates, etc'!H146:T151,6,FALSE)</f>
        <v>0</v>
      </c>
      <c r="I13" s="5">
        <f>HLOOKUP(I$4,'rates, dates, etc'!I146:U151,6,FALSE)</f>
        <v>0</v>
      </c>
      <c r="J13" s="5">
        <f>HLOOKUP(J$4,'rates, dates, etc'!J146:V151,6,FALSE)</f>
        <v>0</v>
      </c>
      <c r="K13" s="5">
        <f>HLOOKUP(K$4,'rates, dates, etc'!K146:W151,6,FALSE)</f>
        <v>0</v>
      </c>
      <c r="L13" s="83">
        <f>SUM(B13:K13)</f>
        <v>0</v>
      </c>
    </row>
    <row r="14" spans="1:13" x14ac:dyDescent="0.2">
      <c r="A14" s="3" t="str">
        <f>+'rates, dates, etc'!A154</f>
        <v>Other Professional(s) (Technicians, etc)</v>
      </c>
      <c r="B14" s="5">
        <f>HLOOKUP(B$4,'rates, dates, etc'!B153:I158,6,FALSE)</f>
        <v>0</v>
      </c>
      <c r="C14" s="5">
        <f>HLOOKUP(C$4,'rates, dates, etc'!C153:O158,6,FALSE)</f>
        <v>0</v>
      </c>
      <c r="D14" s="5">
        <f>HLOOKUP(D$4,'rates, dates, etc'!D153:P158,6,FALSE)</f>
        <v>0</v>
      </c>
      <c r="E14" s="5">
        <f>HLOOKUP(E$4,'rates, dates, etc'!E153:Q158,6,FALSE)</f>
        <v>0</v>
      </c>
      <c r="F14" s="5">
        <f>HLOOKUP(F$4,'rates, dates, etc'!F153:R158,6,FALSE)</f>
        <v>0</v>
      </c>
      <c r="G14" s="5">
        <f>HLOOKUP(G$4,'rates, dates, etc'!G153:S158,6,FALSE)</f>
        <v>0</v>
      </c>
      <c r="H14" s="5">
        <f>HLOOKUP(H$4,'rates, dates, etc'!H153:T158,6,FALSE)</f>
        <v>0</v>
      </c>
      <c r="I14" s="5">
        <f>HLOOKUP(I$4,'rates, dates, etc'!I153:U158,6,FALSE)</f>
        <v>0</v>
      </c>
      <c r="J14" s="5">
        <f>HLOOKUP(J$4,'rates, dates, etc'!J153:V158,6,FALSE)</f>
        <v>0</v>
      </c>
      <c r="K14" s="5">
        <f>HLOOKUP(K$4,'rates, dates, etc'!K153:W158,6,FALSE)</f>
        <v>0</v>
      </c>
      <c r="L14" s="83">
        <f t="shared" ref="L14:L17" si="10">SUM(B14:K14)</f>
        <v>0</v>
      </c>
    </row>
    <row r="15" spans="1:13" x14ac:dyDescent="0.2">
      <c r="A15" s="3" t="str">
        <f>+'rates, dates, etc'!A160</f>
        <v>Graduate Student(s)</v>
      </c>
      <c r="B15" s="5">
        <f>O66+O67</f>
        <v>0</v>
      </c>
      <c r="C15" s="5">
        <f t="shared" ref="C15:K15" si="11">P66+P67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si="11"/>
        <v>0</v>
      </c>
      <c r="H15" s="5">
        <f t="shared" si="11"/>
        <v>0</v>
      </c>
      <c r="I15" s="5">
        <f t="shared" si="11"/>
        <v>0</v>
      </c>
      <c r="J15" s="5">
        <f t="shared" si="11"/>
        <v>0</v>
      </c>
      <c r="K15" s="5">
        <f t="shared" si="11"/>
        <v>0</v>
      </c>
      <c r="L15" s="83">
        <f t="shared" si="10"/>
        <v>0</v>
      </c>
    </row>
    <row r="16" spans="1:13" x14ac:dyDescent="0.2">
      <c r="A16" s="3" t="str">
        <f>+'rates, dates, etc'!A165</f>
        <v>Undergraduate Student(s)</v>
      </c>
      <c r="B16" s="5">
        <f>+'rates, dates, etc'!B173</f>
        <v>0</v>
      </c>
      <c r="C16" s="5">
        <f>+'rates, dates, etc'!C173</f>
        <v>0</v>
      </c>
      <c r="D16" s="5">
        <f>+'rates, dates, etc'!D173</f>
        <v>0</v>
      </c>
      <c r="E16" s="5">
        <f>+'rates, dates, etc'!E173</f>
        <v>0</v>
      </c>
      <c r="F16" s="5">
        <f>+'rates, dates, etc'!F173</f>
        <v>0</v>
      </c>
      <c r="G16" s="5">
        <f>+'rates, dates, etc'!G173</f>
        <v>0</v>
      </c>
      <c r="H16" s="5">
        <f>+'rates, dates, etc'!H173</f>
        <v>0</v>
      </c>
      <c r="I16" s="5">
        <f>+'rates, dates, etc'!I173</f>
        <v>0</v>
      </c>
      <c r="J16" s="5">
        <f>+'rates, dates, etc'!J173</f>
        <v>0</v>
      </c>
      <c r="K16" s="5">
        <f>+'rates, dates, etc'!K173</f>
        <v>0</v>
      </c>
      <c r="L16" s="83">
        <f t="shared" si="10"/>
        <v>0</v>
      </c>
    </row>
    <row r="17" spans="1:12" x14ac:dyDescent="0.2">
      <c r="A17" s="3" t="str">
        <f>+'rates, dates, etc'!A176</f>
        <v>Other</v>
      </c>
      <c r="B17" s="5">
        <f>HLOOKUP(B$4,'rates, dates, etc'!B175:I180,6,FALSE)</f>
        <v>0</v>
      </c>
      <c r="C17" s="5">
        <f>HLOOKUP(C$4,'rates, dates, etc'!C175:O180,6,FALSE)</f>
        <v>0</v>
      </c>
      <c r="D17" s="5">
        <f>HLOOKUP(D$4,'rates, dates, etc'!D175:P180,6,FALSE)</f>
        <v>0</v>
      </c>
      <c r="E17" s="5">
        <f>HLOOKUP(E$4,'rates, dates, etc'!E175:Q180,6,FALSE)</f>
        <v>0</v>
      </c>
      <c r="F17" s="5">
        <f>HLOOKUP(F$4,'rates, dates, etc'!F175:R180,6,FALSE)</f>
        <v>0</v>
      </c>
      <c r="G17" s="5">
        <f>HLOOKUP(G$4,'rates, dates, etc'!G175:S180,6,FALSE)</f>
        <v>0</v>
      </c>
      <c r="H17" s="5">
        <f>HLOOKUP(H$4,'rates, dates, etc'!H175:T180,6,FALSE)</f>
        <v>0</v>
      </c>
      <c r="I17" s="5">
        <f>HLOOKUP(I$4,'rates, dates, etc'!I175:U180,6,FALSE)</f>
        <v>0</v>
      </c>
      <c r="J17" s="5">
        <f>HLOOKUP(J$4,'rates, dates, etc'!J175:V180,6,FALSE)</f>
        <v>0</v>
      </c>
      <c r="K17" s="5">
        <f>HLOOKUP(K$4,'rates, dates, etc'!K175:W180,6,FALSE)</f>
        <v>0</v>
      </c>
      <c r="L17" s="83">
        <f t="shared" si="10"/>
        <v>0</v>
      </c>
    </row>
    <row r="18" spans="1:12" ht="10.5" thickBot="1" x14ac:dyDescent="0.25">
      <c r="A18" s="76" t="str">
        <f>CONCATENATE("Total ",A12)</f>
        <v>Total Other Personnel Salary</v>
      </c>
      <c r="B18" s="6">
        <f t="shared" ref="B18:L18" si="12">SUM(B12:B17)</f>
        <v>0</v>
      </c>
      <c r="C18" s="6">
        <f t="shared" si="12"/>
        <v>0</v>
      </c>
      <c r="D18" s="6">
        <f t="shared" si="12"/>
        <v>0</v>
      </c>
      <c r="E18" s="6">
        <f t="shared" si="12"/>
        <v>0</v>
      </c>
      <c r="F18" s="6">
        <f t="shared" si="12"/>
        <v>0</v>
      </c>
      <c r="G18" s="6">
        <f t="shared" ref="G18:K18" si="13">SUM(G12:G17)</f>
        <v>0</v>
      </c>
      <c r="H18" s="6">
        <f t="shared" si="13"/>
        <v>0</v>
      </c>
      <c r="I18" s="6">
        <f t="shared" si="13"/>
        <v>0</v>
      </c>
      <c r="J18" s="6">
        <f t="shared" si="13"/>
        <v>0</v>
      </c>
      <c r="K18" s="6">
        <f t="shared" si="13"/>
        <v>0</v>
      </c>
      <c r="L18" s="86">
        <f t="shared" si="12"/>
        <v>0</v>
      </c>
    </row>
    <row r="19" spans="1:12" ht="10.5" x14ac:dyDescent="0.25">
      <c r="A19" s="77" t="s">
        <v>7</v>
      </c>
      <c r="B19" s="17" t="s">
        <v>6</v>
      </c>
      <c r="C19" s="17"/>
      <c r="D19" s="17"/>
      <c r="E19" s="17"/>
      <c r="F19" s="17"/>
      <c r="G19" s="17"/>
      <c r="H19" s="17"/>
      <c r="I19" s="17"/>
      <c r="J19" s="17"/>
      <c r="K19" s="17"/>
      <c r="L19" s="83"/>
    </row>
    <row r="20" spans="1:12" x14ac:dyDescent="0.2">
      <c r="A20" s="3" t="str">
        <f>+A8</f>
        <v>Co-PI</v>
      </c>
      <c r="B20" s="17">
        <f>IF('rates, dates, etc'!$O124=9,ROUND((+B8*O$76),0),ROUND((+B8*O$79*$P$87)+(B8*P$79*$P$88),0))</f>
        <v>0</v>
      </c>
      <c r="C20" s="17">
        <f>IF('rates, dates, etc'!$O124=9,ROUND((+C8*P$76),0),ROUND((+C8*P$79*$P$87)+(C8*Q$79*$P$88),0))</f>
        <v>0</v>
      </c>
      <c r="D20" s="17">
        <f>IF('rates, dates, etc'!$O124=9,ROUND((+D8*Q$76),0),ROUND((+D8*Q$79*$P$87)+(D8*R$79*$P$88),0))</f>
        <v>0</v>
      </c>
      <c r="E20" s="17">
        <f>IF('rates, dates, etc'!$O124=9,ROUND((+E8*R$76),0),ROUND((+E8*R$79*$P$87)+(E8*S$79*$P$88),0))</f>
        <v>0</v>
      </c>
      <c r="F20" s="17">
        <f>IF('rates, dates, etc'!$O124=9,ROUND((+F8*S$76),0),ROUND((+F8*S$79*$P$87)+(F8*T$79*$P$88),0))</f>
        <v>0</v>
      </c>
      <c r="G20" s="17">
        <f>IF('rates, dates, etc'!$O124=9,ROUND((+G8*T$76),0),ROUND((+G8*T$79*$P$87)+(G8*U$79*$P$88),0))</f>
        <v>0</v>
      </c>
      <c r="H20" s="17">
        <f>IF('rates, dates, etc'!$O124=9,ROUND((+H8*U$76),0),ROUND((+H8*U$79*$P$87)+(H8*V$79*$P$88),0))</f>
        <v>0</v>
      </c>
      <c r="I20" s="17">
        <f>IF('rates, dates, etc'!$O124=9,ROUND((+I8*V$76),0),ROUND((+I8*V$79*$P$87)+(I8*W$79*$P$88),0))</f>
        <v>0</v>
      </c>
      <c r="J20" s="17">
        <f>IF('rates, dates, etc'!$O124=9,ROUND((+J8*W$76),0),ROUND((+J8*W$79*$P$87)+(J8*X$79*$P$88),0))</f>
        <v>0</v>
      </c>
      <c r="K20" s="17">
        <f>IF('rates, dates, etc'!$O124=9,ROUND((+K8*X$76),0),ROUND((+K8*X$79*$P$87)+(K8*Y$79*$P$88),0))</f>
        <v>0</v>
      </c>
      <c r="L20" s="83">
        <f>SUM(B20:K20)</f>
        <v>0</v>
      </c>
    </row>
    <row r="21" spans="1:12" x14ac:dyDescent="0.2">
      <c r="A21" s="3" t="str">
        <f>+A9</f>
        <v>Co-PI</v>
      </c>
      <c r="B21" s="17">
        <f>IF('rates, dates, etc'!$O132=9,ROUND((+B9*O$76),0),ROUND((+B9*O$79*$P$87)+(B9*P$79*$P$88),0))</f>
        <v>0</v>
      </c>
      <c r="C21" s="17">
        <f>IF('rates, dates, etc'!$O132=9,ROUND((+C9*P$76),0),ROUND((+C9*P$79*$P$87)+(C9*Q$79*$P$88),0))</f>
        <v>0</v>
      </c>
      <c r="D21" s="17">
        <f>IF('rates, dates, etc'!$O132=9,ROUND((+D9*Q$76),0),ROUND((+D9*Q$79*$P$87)+(D9*R$79*$P$88),0))</f>
        <v>0</v>
      </c>
      <c r="E21" s="17">
        <f>IF('rates, dates, etc'!$O132=9,ROUND((+E9*R$76),0),ROUND((+E9*R$79*$P$87)+(E9*S$79*$P$88),0))</f>
        <v>0</v>
      </c>
      <c r="F21" s="17">
        <f>IF('rates, dates, etc'!$O132=9,ROUND((+F9*S$76),0),ROUND((+F9*S$79*$P$87)+(F9*T$79*$P$88),0))</f>
        <v>0</v>
      </c>
      <c r="G21" s="17">
        <f>IF('rates, dates, etc'!$O132=9,ROUND((+G9*T$76),0),ROUND((+G9*T$79*$P$87)+(G9*U$79*$P$88),0))</f>
        <v>0</v>
      </c>
      <c r="H21" s="17">
        <f>IF('rates, dates, etc'!$O132=9,ROUND((+H9*U$76),0),ROUND((+H9*U$79*$P$87)+(H9*V$79*$P$88),0))</f>
        <v>0</v>
      </c>
      <c r="I21" s="17">
        <f>IF('rates, dates, etc'!$O132=9,ROUND((+I9*V$76),0),ROUND((+I9*V$79*$P$87)+(I9*W$79*$P$88),0))</f>
        <v>0</v>
      </c>
      <c r="J21" s="17">
        <f>IF('rates, dates, etc'!$O132=9,ROUND((+J9*W$76),0),ROUND((+J9*W$79*$P$87)+(J9*X$79*$P$88),0))</f>
        <v>0</v>
      </c>
      <c r="K21" s="17">
        <f>IF('rates, dates, etc'!$O132=9,ROUND((+K9*X$76),0),ROUND((+K9*X$79*$P$87)+(K9*Y$79*$P$88),0))</f>
        <v>0</v>
      </c>
      <c r="L21" s="83">
        <f t="shared" ref="L21:L25" si="14">SUM(B21:K21)</f>
        <v>0</v>
      </c>
    </row>
    <row r="22" spans="1:12" x14ac:dyDescent="0.2">
      <c r="A22" s="3" t="str">
        <f>+A10</f>
        <v>Co-PI</v>
      </c>
      <c r="B22" s="17">
        <f>IF('rates, dates, etc'!$O140=9,ROUND((+B10*O$76),0),ROUND((+B10*O$79*$P$87)+(B10*P$79*$P$88),0))</f>
        <v>0</v>
      </c>
      <c r="C22" s="17">
        <f>IF('rates, dates, etc'!$O140=9,ROUND((+C10*P$76),0),ROUND((+C10*P$79*$P$87)+(C10*Q$79*$P$88),0))</f>
        <v>0</v>
      </c>
      <c r="D22" s="17">
        <f>IF('rates, dates, etc'!$O140=9,ROUND((+D10*Q$76),0),ROUND((+D10*Q$79*$P$87)+(D10*R$79*$P$88),0))</f>
        <v>0</v>
      </c>
      <c r="E22" s="17">
        <f>IF('rates, dates, etc'!$O140=9,ROUND((+E10*R$76),0),ROUND((+E10*R$79*$P$87)+(E10*S$79*$P$88),0))</f>
        <v>0</v>
      </c>
      <c r="F22" s="17">
        <f>IF('rates, dates, etc'!$O140=9,ROUND((+F10*S$76),0),ROUND((+F10*S$79*$P$87)+(F10*T$79*$P$88),0))</f>
        <v>0</v>
      </c>
      <c r="G22" s="17">
        <f>IF('rates, dates, etc'!$O140=9,ROUND((+G10*T$76),0),ROUND((+G10*T$79*$P$87)+(G10*U$79*$P$88),0))</f>
        <v>0</v>
      </c>
      <c r="H22" s="17">
        <f>IF('rates, dates, etc'!$O140=9,ROUND((+H10*U$76),0),ROUND((+H10*U$79*$P$87)+(H10*V$79*$P$88),0))</f>
        <v>0</v>
      </c>
      <c r="I22" s="17">
        <f>IF('rates, dates, etc'!$O140=9,ROUND((+I10*V$76),0),ROUND((+I10*V$79*$P$87)+(I10*W$79*$P$88),0))</f>
        <v>0</v>
      </c>
      <c r="J22" s="17">
        <f>IF('rates, dates, etc'!$O140=9,ROUND((+J10*W$76),0),ROUND((+J10*W$79*$P$87)+(J10*X$79*$P$88),0))</f>
        <v>0</v>
      </c>
      <c r="K22" s="17">
        <f>IF('rates, dates, etc'!$O140=9,ROUND((+K10*X$76),0),ROUND((+K10*X$79*$P$87)+(K10*Y$79*$P$88),0))</f>
        <v>0</v>
      </c>
      <c r="L22" s="83">
        <f t="shared" si="14"/>
        <v>0</v>
      </c>
    </row>
    <row r="23" spans="1:12" x14ac:dyDescent="0.2">
      <c r="A23" s="3" t="str">
        <f>+A13</f>
        <v>Post Doctoral Scholar(s)</v>
      </c>
      <c r="B23" s="17">
        <f t="shared" ref="B23:G24" si="15">ROUND((+B13*O80*$P$87)+(B13*P80*$P$88),0)</f>
        <v>0</v>
      </c>
      <c r="C23" s="17">
        <f t="shared" si="15"/>
        <v>0</v>
      </c>
      <c r="D23" s="17">
        <f t="shared" si="15"/>
        <v>0</v>
      </c>
      <c r="E23" s="17">
        <f t="shared" si="15"/>
        <v>0</v>
      </c>
      <c r="F23" s="17">
        <f t="shared" si="15"/>
        <v>0</v>
      </c>
      <c r="G23" s="17">
        <f t="shared" si="15"/>
        <v>0</v>
      </c>
      <c r="H23" s="17">
        <f t="shared" ref="H23:K23" si="16">ROUND((+H13*U80*$P$87)+(H13*V80*$P$88),0)</f>
        <v>0</v>
      </c>
      <c r="I23" s="17">
        <f t="shared" si="16"/>
        <v>0</v>
      </c>
      <c r="J23" s="17">
        <f t="shared" si="16"/>
        <v>0</v>
      </c>
      <c r="K23" s="17">
        <f t="shared" si="16"/>
        <v>0</v>
      </c>
      <c r="L23" s="83">
        <f t="shared" si="14"/>
        <v>0</v>
      </c>
    </row>
    <row r="24" spans="1:12" x14ac:dyDescent="0.2">
      <c r="A24" s="3" t="str">
        <f>+A14</f>
        <v>Other Professional(s) (Technicians, etc)</v>
      </c>
      <c r="B24" s="17">
        <f t="shared" si="15"/>
        <v>0</v>
      </c>
      <c r="C24" s="17">
        <f t="shared" si="15"/>
        <v>0</v>
      </c>
      <c r="D24" s="17">
        <f t="shared" si="15"/>
        <v>0</v>
      </c>
      <c r="E24" s="17">
        <f t="shared" si="15"/>
        <v>0</v>
      </c>
      <c r="F24" s="17">
        <f t="shared" si="15"/>
        <v>0</v>
      </c>
      <c r="G24" s="17">
        <f t="shared" si="15"/>
        <v>0</v>
      </c>
      <c r="H24" s="17">
        <f t="shared" ref="H24:K24" si="17">ROUND((+H14*U81*$P$87)+(H14*V81*$P$88),0)</f>
        <v>0</v>
      </c>
      <c r="I24" s="17">
        <f t="shared" si="17"/>
        <v>0</v>
      </c>
      <c r="J24" s="17">
        <f t="shared" si="17"/>
        <v>0</v>
      </c>
      <c r="K24" s="17">
        <f t="shared" si="17"/>
        <v>0</v>
      </c>
      <c r="L24" s="83">
        <f t="shared" si="14"/>
        <v>0</v>
      </c>
    </row>
    <row r="25" spans="1:12" x14ac:dyDescent="0.2">
      <c r="A25" s="3" t="str">
        <f>+A17</f>
        <v>Other</v>
      </c>
      <c r="B25" s="17">
        <f>IF('rates, dates, etc'!$O177=9,ROUND((+B17*O$76),0),ROUND((+B17*O$81*$P$87)+(B17*P$81*$P$88),0))</f>
        <v>0</v>
      </c>
      <c r="C25" s="17">
        <f>IF('rates, dates, etc'!$O177=9,ROUND((+C17*P$76),0),ROUND((+C17*P$81*$P$87)+(C17*Q$81*$P$88),0))</f>
        <v>0</v>
      </c>
      <c r="D25" s="17">
        <f>IF('rates, dates, etc'!$O177=9,ROUND((+D17*Q$76),0),ROUND((+D17*Q$81*$P$87)+(D17*R$81*$P$88),0))</f>
        <v>0</v>
      </c>
      <c r="E25" s="17">
        <f>IF('rates, dates, etc'!$O177=9,ROUND((+E17*R$76),0),ROUND((+E17*R$81*$P$87)+(E17*S$81*$P$88),0))</f>
        <v>0</v>
      </c>
      <c r="F25" s="17">
        <f>IF('rates, dates, etc'!$O177=9,ROUND((+F17*S$76),0),ROUND((+F17*S$81*$P$87)+(F17*T$81*$P$88),0))</f>
        <v>0</v>
      </c>
      <c r="G25" s="17">
        <f>IF('rates, dates, etc'!$O177=9,ROUND((+G17*T$76),0),ROUND((+G17*T$81*$P$87)+(G17*U$81*$P$88),0))</f>
        <v>0</v>
      </c>
      <c r="H25" s="17">
        <f>IF('rates, dates, etc'!$O177=9,ROUND((+H17*U$76),0),ROUND((+H17*U$81*$P$87)+(H17*V$81*$P$88),0))</f>
        <v>0</v>
      </c>
      <c r="I25" s="17">
        <f>IF('rates, dates, etc'!$O177=9,ROUND((+I17*V$76),0),ROUND((+I17*V$81*$P$87)+(I17*W$81*$P$88),0))</f>
        <v>0</v>
      </c>
      <c r="J25" s="17">
        <f>IF('rates, dates, etc'!$O177=9,ROUND((+J17*W$76),0),ROUND((+J17*W$81*$P$87)+(J17*X$81*$P$88),0))</f>
        <v>0</v>
      </c>
      <c r="K25" s="17">
        <f>IF('rates, dates, etc'!$O177=9,ROUND((+K17*X$76),0),ROUND((+K17*X$81*$P$87)+(K17*Y$81*$P$88),0))</f>
        <v>0</v>
      </c>
      <c r="L25" s="83">
        <f t="shared" si="14"/>
        <v>0</v>
      </c>
    </row>
    <row r="26" spans="1:12" ht="10.5" thickBot="1" x14ac:dyDescent="0.25">
      <c r="A26" s="76" t="str">
        <f>CONCATENATE("Total ",A19)</f>
        <v>Total Fringe Benefits</v>
      </c>
      <c r="B26" s="6">
        <f>SUM(B19:B25)</f>
        <v>0</v>
      </c>
      <c r="C26" s="6">
        <f>SUM(C19:C25)</f>
        <v>0</v>
      </c>
      <c r="D26" s="6">
        <f>SUM(D19:D25)</f>
        <v>0</v>
      </c>
      <c r="E26" s="6">
        <f t="shared" ref="E26:F26" si="18">SUM(E19:E25)</f>
        <v>0</v>
      </c>
      <c r="F26" s="6">
        <f t="shared" si="18"/>
        <v>0</v>
      </c>
      <c r="G26" s="6">
        <f t="shared" ref="G26:K26" si="19">SUM(G19:G25)</f>
        <v>0</v>
      </c>
      <c r="H26" s="6">
        <f t="shared" si="19"/>
        <v>0</v>
      </c>
      <c r="I26" s="6">
        <f t="shared" si="19"/>
        <v>0</v>
      </c>
      <c r="J26" s="6">
        <f t="shared" si="19"/>
        <v>0</v>
      </c>
      <c r="K26" s="6">
        <f t="shared" si="19"/>
        <v>0</v>
      </c>
      <c r="L26" s="86">
        <f>SUM(L19:L25)</f>
        <v>0</v>
      </c>
    </row>
    <row r="27" spans="1:12" ht="11" thickBot="1" x14ac:dyDescent="0.3">
      <c r="A27" s="130" t="s">
        <v>108</v>
      </c>
      <c r="B27" s="131">
        <f t="shared" ref="B27:G27" si="20">+B11+B18+B26</f>
        <v>0</v>
      </c>
      <c r="C27" s="131">
        <f t="shared" si="20"/>
        <v>0</v>
      </c>
      <c r="D27" s="131">
        <f t="shared" si="20"/>
        <v>0</v>
      </c>
      <c r="E27" s="131">
        <f t="shared" si="20"/>
        <v>0</v>
      </c>
      <c r="F27" s="131">
        <f t="shared" si="20"/>
        <v>0</v>
      </c>
      <c r="G27" s="131">
        <f t="shared" si="20"/>
        <v>0</v>
      </c>
      <c r="H27" s="131">
        <f t="shared" ref="H27" si="21">+H11+H18+H26</f>
        <v>0</v>
      </c>
      <c r="I27" s="131">
        <f t="shared" ref="I27" si="22">+I11+I18+I26</f>
        <v>0</v>
      </c>
      <c r="J27" s="131">
        <f t="shared" ref="J27" si="23">+J11+J18+J26</f>
        <v>0</v>
      </c>
      <c r="K27" s="131">
        <f t="shared" ref="K27" si="24">+K11+K18+K26</f>
        <v>0</v>
      </c>
      <c r="L27" s="132">
        <f>SUM(B27:K27)</f>
        <v>0</v>
      </c>
    </row>
    <row r="28" spans="1:12" ht="10.5" x14ac:dyDescent="0.25">
      <c r="A28" s="7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83"/>
    </row>
    <row r="29" spans="1:12" x14ac:dyDescent="0.2">
      <c r="A29" s="3" t="s">
        <v>62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83">
        <f>SUM(B29:K29)</f>
        <v>0</v>
      </c>
    </row>
    <row r="30" spans="1:12" ht="10.5" thickBot="1" x14ac:dyDescent="0.25">
      <c r="A30" s="76" t="str">
        <f>CONCATENATE("Total ",A28)</f>
        <v>Total Equipment</v>
      </c>
      <c r="B30" s="6">
        <f t="shared" ref="B30:L30" si="25">SUM(B28:B29)</f>
        <v>0</v>
      </c>
      <c r="C30" s="6">
        <f t="shared" si="25"/>
        <v>0</v>
      </c>
      <c r="D30" s="6">
        <f t="shared" si="25"/>
        <v>0</v>
      </c>
      <c r="E30" s="6">
        <f t="shared" si="25"/>
        <v>0</v>
      </c>
      <c r="F30" s="6">
        <f t="shared" si="25"/>
        <v>0</v>
      </c>
      <c r="G30" s="6">
        <f t="shared" ref="G30:K30" si="26">SUM(G28:G29)</f>
        <v>0</v>
      </c>
      <c r="H30" s="6">
        <f t="shared" si="26"/>
        <v>0</v>
      </c>
      <c r="I30" s="6">
        <f t="shared" si="26"/>
        <v>0</v>
      </c>
      <c r="J30" s="6">
        <f t="shared" si="26"/>
        <v>0</v>
      </c>
      <c r="K30" s="6">
        <f t="shared" si="26"/>
        <v>0</v>
      </c>
      <c r="L30" s="86">
        <f t="shared" si="25"/>
        <v>0</v>
      </c>
    </row>
    <row r="31" spans="1:12" ht="10.5" x14ac:dyDescent="0.25">
      <c r="A31" s="77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83"/>
    </row>
    <row r="32" spans="1:12" x14ac:dyDescent="0.2">
      <c r="A32" s="3" t="s">
        <v>10</v>
      </c>
      <c r="B32" s="344">
        <v>0</v>
      </c>
      <c r="C32" s="344">
        <v>0</v>
      </c>
      <c r="D32" s="344">
        <v>0</v>
      </c>
      <c r="E32" s="344">
        <v>0</v>
      </c>
      <c r="F32" s="344">
        <v>0</v>
      </c>
      <c r="G32" s="344">
        <v>0</v>
      </c>
      <c r="H32" s="344">
        <v>0</v>
      </c>
      <c r="I32" s="344">
        <v>0</v>
      </c>
      <c r="J32" s="344">
        <v>0</v>
      </c>
      <c r="K32" s="344">
        <v>0</v>
      </c>
      <c r="L32" s="83">
        <f>SUM(B32:K32)</f>
        <v>0</v>
      </c>
    </row>
    <row r="33" spans="1:16" x14ac:dyDescent="0.2">
      <c r="A33" s="3" t="s">
        <v>11</v>
      </c>
      <c r="B33" s="344">
        <v>0</v>
      </c>
      <c r="C33" s="344">
        <v>0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83">
        <f>SUM(B33:K33)</f>
        <v>0</v>
      </c>
    </row>
    <row r="34" spans="1:16" ht="10.5" thickBot="1" x14ac:dyDescent="0.25">
      <c r="A34" s="76" t="str">
        <f>CONCATENATE("Total ",A31)</f>
        <v>Total Travel</v>
      </c>
      <c r="B34" s="6">
        <f>SUM(B31:B33)</f>
        <v>0</v>
      </c>
      <c r="C34" s="6">
        <f>SUM(C31:C33)</f>
        <v>0</v>
      </c>
      <c r="D34" s="6">
        <f t="shared" ref="D34:F34" si="27">SUM(D31:D33)</f>
        <v>0</v>
      </c>
      <c r="E34" s="6">
        <f t="shared" si="27"/>
        <v>0</v>
      </c>
      <c r="F34" s="6">
        <f t="shared" si="27"/>
        <v>0</v>
      </c>
      <c r="G34" s="6">
        <f t="shared" ref="G34:K34" si="28">SUM(G31:G33)</f>
        <v>0</v>
      </c>
      <c r="H34" s="6">
        <f t="shared" si="28"/>
        <v>0</v>
      </c>
      <c r="I34" s="6">
        <f t="shared" si="28"/>
        <v>0</v>
      </c>
      <c r="J34" s="6">
        <f t="shared" si="28"/>
        <v>0</v>
      </c>
      <c r="K34" s="6">
        <f t="shared" si="28"/>
        <v>0</v>
      </c>
      <c r="L34" s="86">
        <f>SUM(L31:L33)</f>
        <v>0</v>
      </c>
    </row>
    <row r="35" spans="1:16" ht="10.5" x14ac:dyDescent="0.25">
      <c r="A35" s="77" t="s">
        <v>27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83"/>
    </row>
    <row r="36" spans="1:16" x14ac:dyDescent="0.2">
      <c r="A36" s="3" t="s">
        <v>75</v>
      </c>
      <c r="B36" s="344">
        <v>0</v>
      </c>
      <c r="C36" s="344">
        <v>0</v>
      </c>
      <c r="D36" s="344">
        <v>0</v>
      </c>
      <c r="E36" s="344">
        <v>0</v>
      </c>
      <c r="F36" s="344">
        <v>0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83">
        <f>SUM(B36:K36)</f>
        <v>0</v>
      </c>
      <c r="N36" s="1"/>
      <c r="O36" s="1"/>
      <c r="P36" s="1"/>
    </row>
    <row r="37" spans="1:16" x14ac:dyDescent="0.2">
      <c r="A37" s="3" t="s">
        <v>42</v>
      </c>
      <c r="B37" s="344">
        <v>0</v>
      </c>
      <c r="C37" s="344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0</v>
      </c>
      <c r="J37" s="344">
        <v>0</v>
      </c>
      <c r="K37" s="344">
        <v>0</v>
      </c>
      <c r="L37" s="83">
        <f t="shared" ref="L37:L40" si="29">SUM(B37:K37)</f>
        <v>0</v>
      </c>
      <c r="N37" s="1"/>
      <c r="O37" s="1"/>
      <c r="P37" s="1"/>
    </row>
    <row r="38" spans="1:16" x14ac:dyDescent="0.2">
      <c r="A38" s="3" t="s">
        <v>34</v>
      </c>
      <c r="B38" s="344">
        <v>0</v>
      </c>
      <c r="C38" s="344">
        <v>0</v>
      </c>
      <c r="D38" s="344">
        <v>0</v>
      </c>
      <c r="E38" s="344">
        <v>0</v>
      </c>
      <c r="F38" s="344">
        <v>0</v>
      </c>
      <c r="G38" s="344">
        <v>0</v>
      </c>
      <c r="H38" s="344">
        <v>0</v>
      </c>
      <c r="I38" s="344">
        <v>0</v>
      </c>
      <c r="J38" s="344">
        <v>0</v>
      </c>
      <c r="K38" s="344">
        <v>0</v>
      </c>
      <c r="L38" s="83">
        <f t="shared" si="29"/>
        <v>0</v>
      </c>
      <c r="P38" s="1"/>
    </row>
    <row r="39" spans="1:16" x14ac:dyDescent="0.2">
      <c r="A39" s="3" t="s">
        <v>43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  <c r="G39" s="344">
        <v>0</v>
      </c>
      <c r="H39" s="344">
        <v>0</v>
      </c>
      <c r="I39" s="344">
        <v>0</v>
      </c>
      <c r="J39" s="344">
        <v>0</v>
      </c>
      <c r="K39" s="344">
        <v>0</v>
      </c>
      <c r="L39" s="83">
        <f t="shared" si="29"/>
        <v>0</v>
      </c>
    </row>
    <row r="40" spans="1:16" x14ac:dyDescent="0.2">
      <c r="A40" s="3" t="s">
        <v>29</v>
      </c>
      <c r="B40" s="344">
        <v>0</v>
      </c>
      <c r="C40" s="344">
        <v>0</v>
      </c>
      <c r="D40" s="344">
        <v>0</v>
      </c>
      <c r="E40" s="344">
        <v>0</v>
      </c>
      <c r="F40" s="344">
        <v>0</v>
      </c>
      <c r="G40" s="344">
        <v>0</v>
      </c>
      <c r="H40" s="344">
        <v>0</v>
      </c>
      <c r="I40" s="344">
        <v>0</v>
      </c>
      <c r="J40" s="344">
        <v>0</v>
      </c>
      <c r="K40" s="344">
        <v>0</v>
      </c>
      <c r="L40" s="83">
        <f t="shared" si="29"/>
        <v>0</v>
      </c>
    </row>
    <row r="41" spans="1:16" ht="10.5" thickBot="1" x14ac:dyDescent="0.25">
      <c r="A41" s="76" t="str">
        <f>CONCATENATE("Total ",A35)</f>
        <v>Total Participant Support Costs</v>
      </c>
      <c r="B41" s="6">
        <f>SUM(B35:B40)</f>
        <v>0</v>
      </c>
      <c r="C41" s="6">
        <f>SUM(C35:C40)</f>
        <v>0</v>
      </c>
      <c r="D41" s="6">
        <f t="shared" ref="D41:F41" si="30">SUM(D35:D40)</f>
        <v>0</v>
      </c>
      <c r="E41" s="6">
        <f t="shared" si="30"/>
        <v>0</v>
      </c>
      <c r="F41" s="6">
        <f t="shared" si="30"/>
        <v>0</v>
      </c>
      <c r="G41" s="6">
        <f t="shared" ref="G41:K41" si="31">SUM(G35:G40)</f>
        <v>0</v>
      </c>
      <c r="H41" s="6">
        <f t="shared" si="31"/>
        <v>0</v>
      </c>
      <c r="I41" s="6">
        <f t="shared" si="31"/>
        <v>0</v>
      </c>
      <c r="J41" s="6">
        <f t="shared" si="31"/>
        <v>0</v>
      </c>
      <c r="K41" s="6">
        <f t="shared" si="31"/>
        <v>0</v>
      </c>
      <c r="L41" s="86">
        <f>SUM(L35:L40)</f>
        <v>0</v>
      </c>
    </row>
    <row r="42" spans="1:16" ht="10.5" x14ac:dyDescent="0.25">
      <c r="A42" s="77" t="s">
        <v>13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83"/>
    </row>
    <row r="43" spans="1:16" x14ac:dyDescent="0.2">
      <c r="A43" s="3" t="s">
        <v>14</v>
      </c>
      <c r="B43" s="390">
        <v>0</v>
      </c>
      <c r="C43" s="390">
        <v>0</v>
      </c>
      <c r="D43" s="390">
        <v>0</v>
      </c>
      <c r="E43" s="390">
        <v>0</v>
      </c>
      <c r="F43" s="390">
        <v>0</v>
      </c>
      <c r="G43" s="390">
        <v>0</v>
      </c>
      <c r="H43" s="390">
        <v>0</v>
      </c>
      <c r="I43" s="390">
        <v>0</v>
      </c>
      <c r="J43" s="390">
        <v>0</v>
      </c>
      <c r="K43" s="390">
        <v>0</v>
      </c>
      <c r="L43" s="83">
        <f>SUM(B43:K43)</f>
        <v>0</v>
      </c>
    </row>
    <row r="44" spans="1:16" x14ac:dyDescent="0.2">
      <c r="A44" s="3" t="s">
        <v>183</v>
      </c>
      <c r="B44" s="390">
        <v>0</v>
      </c>
      <c r="C44" s="390">
        <v>0</v>
      </c>
      <c r="D44" s="390">
        <v>0</v>
      </c>
      <c r="E44" s="390">
        <v>0</v>
      </c>
      <c r="F44" s="390">
        <v>0</v>
      </c>
      <c r="G44" s="390">
        <v>0</v>
      </c>
      <c r="H44" s="390">
        <v>0</v>
      </c>
      <c r="I44" s="390">
        <v>0</v>
      </c>
      <c r="J44" s="390">
        <v>0</v>
      </c>
      <c r="K44" s="390">
        <v>0</v>
      </c>
      <c r="L44" s="83">
        <f t="shared" ref="L44:L51" si="32">SUM(B44:K44)</f>
        <v>0</v>
      </c>
    </row>
    <row r="45" spans="1:16" x14ac:dyDescent="0.2">
      <c r="A45" s="3" t="s">
        <v>15</v>
      </c>
      <c r="B45" s="390">
        <v>0</v>
      </c>
      <c r="C45" s="390">
        <v>0</v>
      </c>
      <c r="D45" s="390">
        <v>0</v>
      </c>
      <c r="E45" s="390">
        <v>0</v>
      </c>
      <c r="F45" s="390">
        <v>0</v>
      </c>
      <c r="G45" s="390">
        <v>0</v>
      </c>
      <c r="H45" s="390">
        <v>0</v>
      </c>
      <c r="I45" s="390">
        <v>0</v>
      </c>
      <c r="J45" s="390">
        <v>0</v>
      </c>
      <c r="K45" s="390">
        <v>0</v>
      </c>
      <c r="L45" s="83">
        <f t="shared" si="32"/>
        <v>0</v>
      </c>
    </row>
    <row r="46" spans="1:16" x14ac:dyDescent="0.2">
      <c r="A46" s="3" t="s">
        <v>184</v>
      </c>
      <c r="B46" s="390">
        <v>0</v>
      </c>
      <c r="C46" s="390">
        <v>0</v>
      </c>
      <c r="D46" s="390">
        <v>0</v>
      </c>
      <c r="E46" s="390">
        <v>0</v>
      </c>
      <c r="F46" s="390">
        <v>0</v>
      </c>
      <c r="G46" s="390">
        <v>0</v>
      </c>
      <c r="H46" s="390">
        <v>0</v>
      </c>
      <c r="I46" s="390">
        <v>0</v>
      </c>
      <c r="J46" s="390">
        <v>0</v>
      </c>
      <c r="K46" s="390">
        <v>0</v>
      </c>
      <c r="L46" s="83">
        <f t="shared" si="32"/>
        <v>0</v>
      </c>
    </row>
    <row r="47" spans="1:16" x14ac:dyDescent="0.2">
      <c r="A47" s="3" t="s">
        <v>41</v>
      </c>
      <c r="B47" s="390">
        <v>0</v>
      </c>
      <c r="C47" s="390">
        <v>0</v>
      </c>
      <c r="D47" s="390">
        <v>0</v>
      </c>
      <c r="E47" s="390">
        <v>0</v>
      </c>
      <c r="F47" s="390">
        <v>0</v>
      </c>
      <c r="G47" s="390">
        <v>0</v>
      </c>
      <c r="H47" s="390">
        <v>0</v>
      </c>
      <c r="I47" s="390">
        <v>0</v>
      </c>
      <c r="J47" s="390">
        <v>0</v>
      </c>
      <c r="K47" s="390">
        <v>0</v>
      </c>
      <c r="L47" s="83">
        <f t="shared" si="32"/>
        <v>0</v>
      </c>
    </row>
    <row r="48" spans="1:16" x14ac:dyDescent="0.2">
      <c r="A48" s="3" t="s">
        <v>148</v>
      </c>
      <c r="B48" s="78">
        <f>O68</f>
        <v>0</v>
      </c>
      <c r="C48" s="78">
        <f t="shared" ref="C48:K48" si="33">P68</f>
        <v>0</v>
      </c>
      <c r="D48" s="78">
        <f t="shared" si="33"/>
        <v>0</v>
      </c>
      <c r="E48" s="78">
        <f t="shared" si="33"/>
        <v>0</v>
      </c>
      <c r="F48" s="78">
        <f t="shared" si="33"/>
        <v>0</v>
      </c>
      <c r="G48" s="78">
        <f t="shared" si="33"/>
        <v>0</v>
      </c>
      <c r="H48" s="78">
        <f t="shared" si="33"/>
        <v>0</v>
      </c>
      <c r="I48" s="78">
        <f t="shared" si="33"/>
        <v>0</v>
      </c>
      <c r="J48" s="78">
        <f t="shared" si="33"/>
        <v>0</v>
      </c>
      <c r="K48" s="78">
        <f t="shared" si="33"/>
        <v>0</v>
      </c>
      <c r="L48" s="83">
        <f t="shared" si="32"/>
        <v>0</v>
      </c>
    </row>
    <row r="49" spans="1:24" x14ac:dyDescent="0.2">
      <c r="A49" s="3" t="s">
        <v>147</v>
      </c>
      <c r="B49" s="78">
        <f>O69</f>
        <v>0</v>
      </c>
      <c r="C49" s="78">
        <f t="shared" ref="C49:K49" si="34">P69</f>
        <v>0</v>
      </c>
      <c r="D49" s="78">
        <f t="shared" si="34"/>
        <v>0</v>
      </c>
      <c r="E49" s="78">
        <f t="shared" si="34"/>
        <v>0</v>
      </c>
      <c r="F49" s="78">
        <f t="shared" si="34"/>
        <v>0</v>
      </c>
      <c r="G49" s="78">
        <f t="shared" si="34"/>
        <v>0</v>
      </c>
      <c r="H49" s="78">
        <f t="shared" si="34"/>
        <v>0</v>
      </c>
      <c r="I49" s="78">
        <f t="shared" si="34"/>
        <v>0</v>
      </c>
      <c r="J49" s="78">
        <f t="shared" si="34"/>
        <v>0</v>
      </c>
      <c r="K49" s="78">
        <f t="shared" si="34"/>
        <v>0</v>
      </c>
      <c r="L49" s="83">
        <f t="shared" si="32"/>
        <v>0</v>
      </c>
    </row>
    <row r="50" spans="1:24" x14ac:dyDescent="0.2">
      <c r="A50" s="3" t="s">
        <v>29</v>
      </c>
      <c r="B50" s="390">
        <v>0</v>
      </c>
      <c r="C50" s="390">
        <v>0</v>
      </c>
      <c r="D50" s="390">
        <v>0</v>
      </c>
      <c r="E50" s="390">
        <v>0</v>
      </c>
      <c r="F50" s="390">
        <v>0</v>
      </c>
      <c r="G50" s="390">
        <v>0</v>
      </c>
      <c r="H50" s="390">
        <v>0</v>
      </c>
      <c r="I50" s="390">
        <v>0</v>
      </c>
      <c r="J50" s="390">
        <v>0</v>
      </c>
      <c r="K50" s="390">
        <v>0</v>
      </c>
      <c r="L50" s="83">
        <f t="shared" si="32"/>
        <v>0</v>
      </c>
    </row>
    <row r="51" spans="1:24" x14ac:dyDescent="0.2">
      <c r="A51" s="3" t="s">
        <v>29</v>
      </c>
      <c r="B51" s="390">
        <v>0</v>
      </c>
      <c r="C51" s="390">
        <v>0</v>
      </c>
      <c r="D51" s="390">
        <v>0</v>
      </c>
      <c r="E51" s="390">
        <v>0</v>
      </c>
      <c r="F51" s="390">
        <v>0</v>
      </c>
      <c r="G51" s="390">
        <v>0</v>
      </c>
      <c r="H51" s="390">
        <v>0</v>
      </c>
      <c r="I51" s="390">
        <v>0</v>
      </c>
      <c r="J51" s="390">
        <v>0</v>
      </c>
      <c r="K51" s="390">
        <v>0</v>
      </c>
      <c r="L51" s="83">
        <f t="shared" si="32"/>
        <v>0</v>
      </c>
      <c r="P51" s="1"/>
      <c r="S51" s="5"/>
      <c r="T51" s="5"/>
    </row>
    <row r="52" spans="1:24" ht="10.5" thickBot="1" x14ac:dyDescent="0.25">
      <c r="A52" s="76" t="str">
        <f>CONCATENATE("Total ",A42)</f>
        <v>Total Other Direct Costs</v>
      </c>
      <c r="B52" s="86">
        <f t="shared" ref="B52:L52" si="35">SUM(B42:B51)</f>
        <v>0</v>
      </c>
      <c r="C52" s="6">
        <f t="shared" si="35"/>
        <v>0</v>
      </c>
      <c r="D52" s="6">
        <f t="shared" si="35"/>
        <v>0</v>
      </c>
      <c r="E52" s="6">
        <f t="shared" si="35"/>
        <v>0</v>
      </c>
      <c r="F52" s="6">
        <f t="shared" si="35"/>
        <v>0</v>
      </c>
      <c r="G52" s="6">
        <f t="shared" ref="G52:K52" si="36">SUM(G42:G51)</f>
        <v>0</v>
      </c>
      <c r="H52" s="6">
        <f t="shared" si="36"/>
        <v>0</v>
      </c>
      <c r="I52" s="6">
        <f t="shared" si="36"/>
        <v>0</v>
      </c>
      <c r="J52" s="6">
        <f t="shared" si="36"/>
        <v>0</v>
      </c>
      <c r="K52" s="6">
        <f t="shared" si="36"/>
        <v>0</v>
      </c>
      <c r="L52" s="86">
        <f t="shared" si="35"/>
        <v>0</v>
      </c>
      <c r="S52" s="5"/>
      <c r="T52" s="5"/>
    </row>
    <row r="53" spans="1:24" ht="11" thickBot="1" x14ac:dyDescent="0.3">
      <c r="A53" s="82" t="s">
        <v>16</v>
      </c>
      <c r="B53" s="124">
        <f t="shared" ref="B53:L53" si="37">SUM(+B11+B18+B26+B30+B34+B41+B52)</f>
        <v>0</v>
      </c>
      <c r="C53" s="124">
        <f t="shared" ref="C53:K53" si="38">SUM(+C11+C18+C26+C30+C34+C41+C52)</f>
        <v>0</v>
      </c>
      <c r="D53" s="124">
        <f t="shared" si="38"/>
        <v>0</v>
      </c>
      <c r="E53" s="124">
        <f t="shared" si="38"/>
        <v>0</v>
      </c>
      <c r="F53" s="124">
        <f t="shared" si="38"/>
        <v>0</v>
      </c>
      <c r="G53" s="124">
        <f t="shared" si="38"/>
        <v>0</v>
      </c>
      <c r="H53" s="124">
        <f t="shared" si="38"/>
        <v>0</v>
      </c>
      <c r="I53" s="124">
        <f t="shared" si="38"/>
        <v>0</v>
      </c>
      <c r="J53" s="124">
        <f t="shared" si="38"/>
        <v>0</v>
      </c>
      <c r="K53" s="124">
        <f t="shared" si="38"/>
        <v>0</v>
      </c>
      <c r="L53" s="125">
        <f t="shared" si="37"/>
        <v>0</v>
      </c>
      <c r="S53" s="5"/>
      <c r="T53" s="5"/>
    </row>
    <row r="54" spans="1:24" ht="11" thickBot="1" x14ac:dyDescent="0.3">
      <c r="A54" s="71" t="s">
        <v>17</v>
      </c>
      <c r="B54" s="94">
        <f>+B53-(B48+B49+B41+B59+B30)</f>
        <v>0</v>
      </c>
      <c r="C54" s="94">
        <f t="shared" ref="C54:K54" si="39">+C53-(C48+C49+C41+C59+C30)</f>
        <v>0</v>
      </c>
      <c r="D54" s="94">
        <f t="shared" si="39"/>
        <v>0</v>
      </c>
      <c r="E54" s="94">
        <f t="shared" si="39"/>
        <v>0</v>
      </c>
      <c r="F54" s="94">
        <f t="shared" si="39"/>
        <v>0</v>
      </c>
      <c r="G54" s="94">
        <f t="shared" si="39"/>
        <v>0</v>
      </c>
      <c r="H54" s="94">
        <f t="shared" si="39"/>
        <v>0</v>
      </c>
      <c r="I54" s="94">
        <f t="shared" si="39"/>
        <v>0</v>
      </c>
      <c r="J54" s="94">
        <f t="shared" si="39"/>
        <v>0</v>
      </c>
      <c r="K54" s="94">
        <f t="shared" si="39"/>
        <v>0</v>
      </c>
      <c r="L54" s="81">
        <f>SUM(B54:K54)</f>
        <v>0</v>
      </c>
      <c r="M54" s="108"/>
      <c r="S54" s="5"/>
      <c r="T54" s="5"/>
    </row>
    <row r="55" spans="1:24" ht="11" thickBot="1" x14ac:dyDescent="0.3">
      <c r="A55" s="99" t="s">
        <v>18</v>
      </c>
      <c r="B55" s="126">
        <f>IF(AND('rates, dates, etc'!$B$8="no",'Budget Summary'!$L$99&lt;'Budget Summary'!$L$100),B61,B62)</f>
        <v>0</v>
      </c>
      <c r="C55" s="126">
        <f>IF(AND('rates, dates, etc'!$B$8="no",'Budget Summary'!$L$99&lt;'Budget Summary'!$L$100),C61,C62)</f>
        <v>0</v>
      </c>
      <c r="D55" s="126">
        <f>IF(AND('rates, dates, etc'!$B$8="no",'Budget Summary'!$L$99&lt;'Budget Summary'!$L$100),D61,D62)</f>
        <v>0</v>
      </c>
      <c r="E55" s="126">
        <f>IF(AND('rates, dates, etc'!$B$8="no",'Budget Summary'!$L$99&lt;'Budget Summary'!$L$100),E61,E62)</f>
        <v>0</v>
      </c>
      <c r="F55" s="126">
        <f>IF(AND('rates, dates, etc'!$B$8="no",'Budget Summary'!$L$99&lt;'Budget Summary'!$L$100),F61,F62)</f>
        <v>0</v>
      </c>
      <c r="G55" s="126">
        <f>IF(AND('rates, dates, etc'!$B$8="no",'Budget Summary'!$L$99&lt;'Budget Summary'!$L$100),G61,G62)</f>
        <v>0</v>
      </c>
      <c r="H55" s="126">
        <f>IF(AND('rates, dates, etc'!$B$8="no",'Budget Summary'!$L$99&lt;'Budget Summary'!$L$100),H61,H62)</f>
        <v>0</v>
      </c>
      <c r="I55" s="126">
        <f>IF(AND('rates, dates, etc'!$B$8="no",'Budget Summary'!$L$99&lt;'Budget Summary'!$L$100),I61,I62)</f>
        <v>0</v>
      </c>
      <c r="J55" s="126">
        <f>IF(AND('rates, dates, etc'!$B$8="no",'Budget Summary'!$L$99&lt;'Budget Summary'!$L$100),J61,J62)</f>
        <v>0</v>
      </c>
      <c r="K55" s="126">
        <f>IF(AND('rates, dates, etc'!$B$8="no",'Budget Summary'!$L$99&lt;'Budget Summary'!$L$100),K61,K62)</f>
        <v>0</v>
      </c>
      <c r="L55" s="127">
        <f>SUM(B55:K55)</f>
        <v>0</v>
      </c>
      <c r="M55" s="107"/>
      <c r="S55" s="5"/>
      <c r="T55" s="5"/>
    </row>
    <row r="56" spans="1:24" ht="11" thickBot="1" x14ac:dyDescent="0.3">
      <c r="A56" s="100" t="s">
        <v>19</v>
      </c>
      <c r="B56" s="128">
        <f>+B53+B55</f>
        <v>0</v>
      </c>
      <c r="C56" s="128">
        <f t="shared" ref="C56:K56" si="40">+C53+C55</f>
        <v>0</v>
      </c>
      <c r="D56" s="128">
        <f t="shared" si="40"/>
        <v>0</v>
      </c>
      <c r="E56" s="128">
        <f t="shared" si="40"/>
        <v>0</v>
      </c>
      <c r="F56" s="128">
        <f t="shared" si="40"/>
        <v>0</v>
      </c>
      <c r="G56" s="128">
        <f t="shared" si="40"/>
        <v>0</v>
      </c>
      <c r="H56" s="128">
        <f t="shared" si="40"/>
        <v>0</v>
      </c>
      <c r="I56" s="128">
        <f t="shared" si="40"/>
        <v>0</v>
      </c>
      <c r="J56" s="128">
        <f t="shared" si="40"/>
        <v>0</v>
      </c>
      <c r="K56" s="128">
        <f t="shared" si="40"/>
        <v>0</v>
      </c>
      <c r="L56" s="129">
        <f>SUM(B56:K56)</f>
        <v>0</v>
      </c>
      <c r="Q56" s="4"/>
      <c r="S56" s="5"/>
      <c r="T56" s="5"/>
    </row>
    <row r="57" spans="1:24" ht="10.5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Q57" s="4"/>
      <c r="S57" s="5"/>
      <c r="T57" s="5"/>
    </row>
    <row r="58" spans="1:24" ht="10.5" thickBot="1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17"/>
    </row>
    <row r="59" spans="1:24" ht="11" thickBot="1" x14ac:dyDescent="0.3">
      <c r="A59" s="20" t="s">
        <v>40</v>
      </c>
      <c r="B59" s="87">
        <f>+B47-IF(B47&lt;25000,B47,25000)</f>
        <v>0</v>
      </c>
      <c r="C59" s="87">
        <f>+C47-IF(+B47&gt;25000,0,IF(B47+C47&gt;25000,(25000-B47),C47))</f>
        <v>0</v>
      </c>
      <c r="D59" s="87">
        <f>+D47-IF(+B47+C47&gt;25000,0,IF(B47+C47+D47&gt;25000,(25000-(B47+C47)),D47))</f>
        <v>0</v>
      </c>
      <c r="E59" s="87">
        <f>+E47-IF(B47+C47+D47&gt;25000,0,IF(B47+C47+D47+E47&gt;25000,(25000-(C47+C47+D47)),E47))</f>
        <v>0</v>
      </c>
      <c r="F59" s="87">
        <f>+F47-IF(B47+C47+D47+E47&gt;25000,0,IF(B47+C47+D47+E47+F47&gt;25000,(25000-(B47+C47+D47+E47)),F47))</f>
        <v>0</v>
      </c>
      <c r="G59" s="87">
        <f>+G47-IF(C47+D47+E47+F47&gt;25000,0,IF(C47+D47+E47+F47+G47&gt;25000,(25000-(C47+D47+E47+F47)),G47))</f>
        <v>0</v>
      </c>
      <c r="H59" s="87">
        <f t="shared" ref="H59:K59" si="41">+H47-IF(D47+E47+F47+G47&gt;25000,0,IF(D47+E47+F47+G47+H47&gt;25000,(25000-(D47+E47+F47+G47)),H47))</f>
        <v>0</v>
      </c>
      <c r="I59" s="87">
        <f t="shared" si="41"/>
        <v>0</v>
      </c>
      <c r="J59" s="87">
        <f t="shared" si="41"/>
        <v>0</v>
      </c>
      <c r="K59" s="87">
        <f t="shared" si="41"/>
        <v>0</v>
      </c>
      <c r="L59" s="92">
        <f>SUM(B59:K59)</f>
        <v>0</v>
      </c>
    </row>
    <row r="60" spans="1:24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4" ht="11" thickBot="1" x14ac:dyDescent="0.3">
      <c r="A61" s="90" t="s">
        <v>110</v>
      </c>
      <c r="B61" s="93">
        <f>IF('rates, dates, etc'!$B$8="Yes",0,ROUND((B53*O83*$P$87)+(B53*P83*$P$88),0))</f>
        <v>0</v>
      </c>
      <c r="C61" s="93">
        <f>IF('rates, dates, etc'!$B$8="Yes",0,ROUND((C53*P83*$P$87)+(C53*Q83*$P$88),0))</f>
        <v>0</v>
      </c>
      <c r="D61" s="93">
        <f>IF('rates, dates, etc'!$B$8="Yes",0,ROUND((D53*Q83*$P$87)+(D53*R83*$P$88),0))</f>
        <v>0</v>
      </c>
      <c r="E61" s="93">
        <f>IF('rates, dates, etc'!$B$8="Yes",0,ROUND((E53*R83*$P$87)+(E53*S83*$P$88),0))</f>
        <v>0</v>
      </c>
      <c r="F61" s="93">
        <f>IF('rates, dates, etc'!$B$8="Yes",0,ROUND((F53*S83*$P$87)+(F53*T83*$P$88),0))</f>
        <v>0</v>
      </c>
      <c r="G61" s="93">
        <f>IF('rates, dates, etc'!$B$8="Yes",0,ROUND((G53*T83*$P$87)+(G53*U83*$P$88),0))</f>
        <v>0</v>
      </c>
      <c r="H61" s="93">
        <f>IF('rates, dates, etc'!$B$8="Yes",0,ROUND((H53*U83*$P$87)+(H53*V83*$P$88),0))</f>
        <v>0</v>
      </c>
      <c r="I61" s="93">
        <f>IF('rates, dates, etc'!$B$8="Yes",0,ROUND((I53*V83*$P$87)+(I53*W83*$P$88),0))</f>
        <v>0</v>
      </c>
      <c r="J61" s="93">
        <f>IF('rates, dates, etc'!$B$8="Yes",0,ROUND((J53*W83*$P$87)+(J53*X83*$P$88),0))</f>
        <v>0</v>
      </c>
      <c r="K61" s="93">
        <f>IF('rates, dates, etc'!$B$8="Yes",0,ROUND((K53*X83*$P$87)+(K53*Y83*$P$88),0))</f>
        <v>0</v>
      </c>
      <c r="L61" s="93">
        <f>SUM(B61:K61)</f>
        <v>0</v>
      </c>
    </row>
    <row r="62" spans="1:24" ht="11" thickBot="1" x14ac:dyDescent="0.3">
      <c r="A62" s="91" t="s">
        <v>109</v>
      </c>
      <c r="B62" s="93">
        <f t="shared" ref="B62:K62" si="42">ROUND((B54*O84*$P$87)+(B54*P84*$P$88),0)</f>
        <v>0</v>
      </c>
      <c r="C62" s="95">
        <f t="shared" si="42"/>
        <v>0</v>
      </c>
      <c r="D62" s="95">
        <f t="shared" si="42"/>
        <v>0</v>
      </c>
      <c r="E62" s="95">
        <f t="shared" si="42"/>
        <v>0</v>
      </c>
      <c r="F62" s="95">
        <f t="shared" si="42"/>
        <v>0</v>
      </c>
      <c r="G62" s="95">
        <f t="shared" si="42"/>
        <v>0</v>
      </c>
      <c r="H62" s="95">
        <f t="shared" si="42"/>
        <v>0</v>
      </c>
      <c r="I62" s="95">
        <f t="shared" si="42"/>
        <v>0</v>
      </c>
      <c r="J62" s="95">
        <f t="shared" si="42"/>
        <v>0</v>
      </c>
      <c r="K62" s="95">
        <f t="shared" si="42"/>
        <v>0</v>
      </c>
      <c r="L62" s="93">
        <f>SUM(B62:K62)</f>
        <v>0</v>
      </c>
    </row>
    <row r="64" spans="1:24" ht="11" thickBot="1" x14ac:dyDescent="0.3">
      <c r="N64" s="43" t="s">
        <v>71</v>
      </c>
      <c r="O64" s="9" t="str">
        <f>+'rates, dates, etc'!B79</f>
        <v>Year 1</v>
      </c>
      <c r="P64" s="9" t="str">
        <f>+'rates, dates, etc'!C79</f>
        <v>Year 2</v>
      </c>
      <c r="Q64" s="9" t="str">
        <f>+'rates, dates, etc'!D79</f>
        <v>Year 3</v>
      </c>
      <c r="R64" s="9" t="str">
        <f>+'rates, dates, etc'!E79</f>
        <v>Year 4</v>
      </c>
      <c r="S64" s="9" t="str">
        <f>+'rates, dates, etc'!F79</f>
        <v>Year 5</v>
      </c>
      <c r="T64" s="9" t="str">
        <f>+'rates, dates, etc'!G79</f>
        <v>Year 6</v>
      </c>
      <c r="U64" s="9" t="str">
        <f>+'rates, dates, etc'!H79</f>
        <v>Year 7</v>
      </c>
      <c r="V64" s="9" t="str">
        <f>+'rates, dates, etc'!I79</f>
        <v>Year 8</v>
      </c>
      <c r="W64" s="9" t="str">
        <f>+'rates, dates, etc'!J79</f>
        <v>Year 9</v>
      </c>
      <c r="X64" s="9" t="str">
        <f>+'rates, dates, etc'!K79</f>
        <v>Year 10</v>
      </c>
    </row>
    <row r="65" spans="2:27" x14ac:dyDescent="0.2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17"/>
      <c r="N65" s="14" t="s">
        <v>32</v>
      </c>
      <c r="O65" s="15">
        <f>SUM('rates, dates, etc'!S155:S157)/3</f>
        <v>0</v>
      </c>
      <c r="P65" s="15">
        <f>SUM('rates, dates, etc'!T155:T157)/3</f>
        <v>0</v>
      </c>
      <c r="Q65" s="15">
        <f>SUM('rates, dates, etc'!U155:U157)/3</f>
        <v>0</v>
      </c>
      <c r="R65" s="15">
        <f>SUM('rates, dates, etc'!V155:V157)/3</f>
        <v>0</v>
      </c>
      <c r="S65" s="15">
        <f>SUM('rates, dates, etc'!W155:W157)/3</f>
        <v>0</v>
      </c>
      <c r="T65" s="15">
        <f>SUM('rates, dates, etc'!X155:X157)/3</f>
        <v>0</v>
      </c>
      <c r="U65" s="15">
        <f>SUM('rates, dates, etc'!Y155:Y157)/3</f>
        <v>0</v>
      </c>
      <c r="V65" s="15">
        <f>SUM('rates, dates, etc'!Z155:Z157)/3</f>
        <v>0</v>
      </c>
      <c r="W65" s="15">
        <f>SUM('rates, dates, etc'!AA155:AA157)/3</f>
        <v>0</v>
      </c>
      <c r="X65" s="15">
        <f>SUM('rates, dates, etc'!AB155:AB157)/3</f>
        <v>0</v>
      </c>
    </row>
    <row r="66" spans="2:27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17"/>
      <c r="N66" s="3" t="s">
        <v>145</v>
      </c>
      <c r="O66" s="4">
        <f>(SUMIF('rates, dates, etc'!$R$171:$R$179,"Stipend (Fall)",'rates, dates, etc'!S171:S179))+
(SUMIF('rates, dates, etc'!$R$171:$R$179,"Stipend (Spring)",'rates, dates, etc'!S171:S179))</f>
        <v>0</v>
      </c>
      <c r="P66" s="4">
        <f>(SUMIF('rates, dates, etc'!$R$171:$R$179,"Stipend (Fall)",'rates, dates, etc'!T171:T179))+
(SUMIF('rates, dates, etc'!$R$171:$R$179,"Stipend (Spring)",'rates, dates, etc'!T171:T179))</f>
        <v>0</v>
      </c>
      <c r="Q66" s="4">
        <f>(SUMIF('rates, dates, etc'!$R$171:$R$179,"Stipend (Fall)",'rates, dates, etc'!U171:U179))+
(SUMIF('rates, dates, etc'!$R$171:$R$179,"Stipend (Spring)",'rates, dates, etc'!U171:U179))</f>
        <v>0</v>
      </c>
      <c r="R66" s="4">
        <f>(SUMIF('rates, dates, etc'!$R$171:$R$179,"Stipend (Fall)",'rates, dates, etc'!V171:V179))+
(SUMIF('rates, dates, etc'!$R$171:$R$179,"Stipend (Spring)",'rates, dates, etc'!V171:V179))</f>
        <v>0</v>
      </c>
      <c r="S66" s="4">
        <f>(SUMIF('rates, dates, etc'!$R$171:$R$179,"Stipend (Fall)",'rates, dates, etc'!W171:W179))+
(SUMIF('rates, dates, etc'!$R$171:$R$179,"Stipend (Spring)",'rates, dates, etc'!W171:W179))</f>
        <v>0</v>
      </c>
      <c r="T66" s="4">
        <f>(SUMIF('rates, dates, etc'!$R$171:$R$179,"Stipend (Fall)",'rates, dates, etc'!X171:X179))+
(SUMIF('rates, dates, etc'!$R$171:$R$179,"Stipend (Spring)",'rates, dates, etc'!X171:X179))</f>
        <v>0</v>
      </c>
      <c r="U66" s="4">
        <f>(SUMIF('rates, dates, etc'!$R$171:$R$179,"Stipend (Fall)",'rates, dates, etc'!Y171:Y179))+
(SUMIF('rates, dates, etc'!$R$171:$R$179,"Stipend (Spring)",'rates, dates, etc'!Y171:Y179))</f>
        <v>0</v>
      </c>
      <c r="V66" s="4">
        <f>(SUMIF('rates, dates, etc'!$R$171:$R$179,"Stipend (Fall)",'rates, dates, etc'!Z171:Z179))+
(SUMIF('rates, dates, etc'!$R$171:$R$179,"Stipend (Spring)",'rates, dates, etc'!Z171:Z179))</f>
        <v>0</v>
      </c>
      <c r="W66" s="4">
        <f>(SUMIF('rates, dates, etc'!$R$171:$R$179,"Stipend (Fall)",'rates, dates, etc'!AA171:AA179))+
(SUMIF('rates, dates, etc'!$R$171:$R$179,"Stipend (Spring)",'rates, dates, etc'!AA171:AA179))</f>
        <v>0</v>
      </c>
      <c r="X66" s="4">
        <f>(SUMIF('rates, dates, etc'!$R$171:$R$179,"Stipend (Fall)",'rates, dates, etc'!AB171:AB179))+
(SUMIF('rates, dates, etc'!$R$171:$R$179,"Stipend (Spring)",'rates, dates, etc'!AB171:AB179))</f>
        <v>0</v>
      </c>
      <c r="Y66" s="5">
        <f>SUM(O66:X66)</f>
        <v>0</v>
      </c>
    </row>
    <row r="67" spans="2:27" x14ac:dyDescent="0.2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17"/>
      <c r="N67" s="3" t="s">
        <v>146</v>
      </c>
      <c r="O67" s="4">
        <f>(SUMIF('rates, dates, etc'!$R$171:$R$179,"Stipend (Summer)",'rates, dates, etc'!S171:S179))</f>
        <v>0</v>
      </c>
      <c r="P67" s="4">
        <f>(SUMIF('rates, dates, etc'!$R$171:$R$179,"Stipend (Summer)",'rates, dates, etc'!T171:T179))</f>
        <v>0</v>
      </c>
      <c r="Q67" s="4">
        <f>(SUMIF('rates, dates, etc'!$R$171:$R$179,"Stipend (Summer)",'rates, dates, etc'!U171:U179))</f>
        <v>0</v>
      </c>
      <c r="R67" s="4">
        <f>(SUMIF('rates, dates, etc'!$R$171:$R$179,"Stipend (Summer)",'rates, dates, etc'!V171:V179))</f>
        <v>0</v>
      </c>
      <c r="S67" s="4">
        <f>(SUMIF('rates, dates, etc'!$R$171:$R$179,"Stipend (Summer)",'rates, dates, etc'!W171:W179))</f>
        <v>0</v>
      </c>
      <c r="T67" s="4">
        <f>(SUMIF('rates, dates, etc'!$R$171:$R$179,"Stipend (Summer)",'rates, dates, etc'!X171:X179))</f>
        <v>0</v>
      </c>
      <c r="U67" s="4">
        <f>(SUMIF('rates, dates, etc'!$R$171:$R$179,"Stipend (Summer)",'rates, dates, etc'!Y171:Y179))</f>
        <v>0</v>
      </c>
      <c r="V67" s="4">
        <f>(SUMIF('rates, dates, etc'!$R$171:$R$179,"Stipend (Summer)",'rates, dates, etc'!Z171:Z179))</f>
        <v>0</v>
      </c>
      <c r="W67" s="4">
        <f>(SUMIF('rates, dates, etc'!$R$171:$R$179,"Stipend (Summer)",'rates, dates, etc'!AA171:AA179))</f>
        <v>0</v>
      </c>
      <c r="X67" s="4">
        <f>(SUMIF('rates, dates, etc'!$R$171:$R$179,"Stipend (Summer)",'rates, dates, etc'!AB171:AB179))</f>
        <v>0</v>
      </c>
      <c r="Y67" s="5">
        <f t="shared" ref="Y67:Y70" si="43">SUM(O67:X67)</f>
        <v>0</v>
      </c>
    </row>
    <row r="68" spans="2:27" x14ac:dyDescent="0.2">
      <c r="N68" s="3" t="s">
        <v>8</v>
      </c>
      <c r="O68" s="4">
        <f>(SUMIF('rates, dates, etc'!$R$171:$R$179,"Tuition (Fall)",'rates, dates, etc'!S171:S179))+
(SUMIF('rates, dates, etc'!$R$171:$R$179,"Tuition (Spring)",'rates, dates, etc'!S171:S179))+
(SUMIF('rates, dates, etc'!$R$171:$R$179,"Tuition (Summer)",'rates, dates, etc'!S171:S179))</f>
        <v>0</v>
      </c>
      <c r="P68" s="4">
        <f>(SUMIF('rates, dates, etc'!$R$171:$R$179,"Tuition (Fall)",'rates, dates, etc'!T171:T179))+
(SUMIF('rates, dates, etc'!$R$171:$R$179,"Tuition (Spring)",'rates, dates, etc'!T171:T179))+
(SUMIF('rates, dates, etc'!$R$171:$R$179,"Tuition (Summer)",'rates, dates, etc'!T171:T179))</f>
        <v>0</v>
      </c>
      <c r="Q68" s="4">
        <f>(SUMIF('rates, dates, etc'!$R$171:$R$179,"Tuition (Fall)",'rates, dates, etc'!U171:U179))+
(SUMIF('rates, dates, etc'!$R$171:$R$179,"Tuition (Spring)",'rates, dates, etc'!U171:U179))+
(SUMIF('rates, dates, etc'!$R$171:$R$179,"Tuition (Summer)",'rates, dates, etc'!U171:U179))</f>
        <v>0</v>
      </c>
      <c r="R68" s="4">
        <f>(SUMIF('rates, dates, etc'!$R$171:$R$179,"Tuition (Fall)",'rates, dates, etc'!V171:V179))+
(SUMIF('rates, dates, etc'!$R$171:$R$179,"Tuition (Spring)",'rates, dates, etc'!V171:V179))+
(SUMIF('rates, dates, etc'!$R$171:$R$179,"Tuition (Summer)",'rates, dates, etc'!V171:V179))</f>
        <v>0</v>
      </c>
      <c r="S68" s="4">
        <f>(SUMIF('rates, dates, etc'!$R$171:$R$179,"Tuition (Fall)",'rates, dates, etc'!W171:W179))+
(SUMIF('rates, dates, etc'!$R$171:$R$179,"Tuition (Spring)",'rates, dates, etc'!W171:W179))+
(SUMIF('rates, dates, etc'!$R$171:$R$179,"Tuition (Summer)",'rates, dates, etc'!W171:W179))</f>
        <v>0</v>
      </c>
      <c r="T68" s="4">
        <f>(SUMIF('rates, dates, etc'!$R$171:$R$179,"Tuition (Fall)",'rates, dates, etc'!X171:X179))+
(SUMIF('rates, dates, etc'!$R$171:$R$179,"Tuition (Spring)",'rates, dates, etc'!X171:X179))+
(SUMIF('rates, dates, etc'!$R$171:$R$179,"Tuition (Summer)",'rates, dates, etc'!X171:X179))</f>
        <v>0</v>
      </c>
      <c r="U68" s="4">
        <f>(SUMIF('rates, dates, etc'!$R$171:$R$179,"Tuition (Fall)",'rates, dates, etc'!Y171:Y179))+
(SUMIF('rates, dates, etc'!$R$171:$R$179,"Tuition (Spring)",'rates, dates, etc'!Y171:Y179))+
(SUMIF('rates, dates, etc'!$R$171:$R$179,"Tuition (Summer)",'rates, dates, etc'!Y171:Y179))</f>
        <v>0</v>
      </c>
      <c r="V68" s="4">
        <f>(SUMIF('rates, dates, etc'!$R$171:$R$179,"Tuition (Fall)",'rates, dates, etc'!Z171:Z179))+
(SUMIF('rates, dates, etc'!$R$171:$R$179,"Tuition (Spring)",'rates, dates, etc'!Z171:Z179))+
(SUMIF('rates, dates, etc'!$R$171:$R$179,"Tuition (Summer)",'rates, dates, etc'!Z171:Z179))</f>
        <v>0</v>
      </c>
      <c r="W68" s="4">
        <f>(SUMIF('rates, dates, etc'!$R$171:$R$179,"Tuition (Fall)",'rates, dates, etc'!AA171:AA179))+
(SUMIF('rates, dates, etc'!$R$171:$R$179,"Tuition (Spring)",'rates, dates, etc'!AA171:AA179))+
(SUMIF('rates, dates, etc'!$R$171:$R$179,"Tuition (Summer)",'rates, dates, etc'!AA171:AA179))</f>
        <v>0</v>
      </c>
      <c r="X68" s="4">
        <f>(SUMIF('rates, dates, etc'!$R$171:$R$179,"Tuition (Fall)",'rates, dates, etc'!AB171:AB179))+
(SUMIF('rates, dates, etc'!$R$171:$R$179,"Tuition (Spring)",'rates, dates, etc'!AB171:AB179))+
(SUMIF('rates, dates, etc'!$R$171:$R$179,"Tuition (Summer)",'rates, dates, etc'!AB171:AB179))</f>
        <v>0</v>
      </c>
      <c r="Y68" s="5">
        <f t="shared" si="43"/>
        <v>0</v>
      </c>
    </row>
    <row r="69" spans="2:27" x14ac:dyDescent="0.2">
      <c r="N69" s="3" t="s">
        <v>9</v>
      </c>
      <c r="O69" s="4">
        <f>(SUMIF('rates, dates, etc'!$R$171:$R$179,"Health Insurance (Fall)",'rates, dates, etc'!S171:S179))+
(SUMIF('rates, dates, etc'!$R$171:$R$179,"Health Insurance (Spring)",'rates, dates, etc'!S171:S179))+
(SUMIF('rates, dates, etc'!$R$171:$R$179,"Health Insurance (Summer)",'rates, dates, etc'!S171:S179))</f>
        <v>0</v>
      </c>
      <c r="P69" s="4">
        <f>(SUMIF('rates, dates, etc'!$R$171:$R$179,"Health Insurance (Fall)",'rates, dates, etc'!T171:T179))+
(SUMIF('rates, dates, etc'!$R$171:$R$179,"Health Insurance (Spring)",'rates, dates, etc'!T171:T179))+
(SUMIF('rates, dates, etc'!$R$171:$R$179,"Health Insurance (Summer)",'rates, dates, etc'!T171:T179))</f>
        <v>0</v>
      </c>
      <c r="Q69" s="4">
        <f>(SUMIF('rates, dates, etc'!$R$171:$R$179,"Health Insurance (Fall)",'rates, dates, etc'!U171:U179))+
(SUMIF('rates, dates, etc'!$R$171:$R$179,"Health Insurance (Spring)",'rates, dates, etc'!U171:U179))+
(SUMIF('rates, dates, etc'!$R$171:$R$179,"Health Insurance (Summer)",'rates, dates, etc'!U171:U179))</f>
        <v>0</v>
      </c>
      <c r="R69" s="4">
        <f>(SUMIF('rates, dates, etc'!$R$171:$R$179,"Health Insurance (Fall)",'rates, dates, etc'!V171:V179))+
(SUMIF('rates, dates, etc'!$R$171:$R$179,"Health Insurance (Spring)",'rates, dates, etc'!V171:V179))+
(SUMIF('rates, dates, etc'!$R$171:$R$179,"Health Insurance (Summer)",'rates, dates, etc'!V171:V179))</f>
        <v>0</v>
      </c>
      <c r="S69" s="4">
        <f>(SUMIF('rates, dates, etc'!$R$171:$R$179,"Health Insurance (Fall)",'rates, dates, etc'!W171:W179))+
(SUMIF('rates, dates, etc'!$R$171:$R$179,"Health Insurance (Spring)",'rates, dates, etc'!W171:W179))+
(SUMIF('rates, dates, etc'!$R$171:$R$179,"Health Insurance (Summer)",'rates, dates, etc'!W171:W179))</f>
        <v>0</v>
      </c>
      <c r="T69" s="4">
        <f>(SUMIF('rates, dates, etc'!$R$171:$R$179,"Health Insurance (Fall)",'rates, dates, etc'!X171:X179))+
(SUMIF('rates, dates, etc'!$R$171:$R$179,"Health Insurance (Spring)",'rates, dates, etc'!X171:X179))+
(SUMIF('rates, dates, etc'!$R$171:$R$179,"Health Insurance (Summer)",'rates, dates, etc'!X171:X179))</f>
        <v>0</v>
      </c>
      <c r="U69" s="4">
        <f>(SUMIF('rates, dates, etc'!$R$171:$R$179,"Health Insurance (Fall)",'rates, dates, etc'!Y171:Y179))+
(SUMIF('rates, dates, etc'!$R$171:$R$179,"Health Insurance (Spring)",'rates, dates, etc'!Y171:Y179))+
(SUMIF('rates, dates, etc'!$R$171:$R$179,"Health Insurance (Summer)",'rates, dates, etc'!Y171:Y179))</f>
        <v>0</v>
      </c>
      <c r="V69" s="4">
        <f>(SUMIF('rates, dates, etc'!$R$171:$R$179,"Health Insurance (Fall)",'rates, dates, etc'!Z171:Z179))+
(SUMIF('rates, dates, etc'!$R$171:$R$179,"Health Insurance (Spring)",'rates, dates, etc'!Z171:Z179))+
(SUMIF('rates, dates, etc'!$R$171:$R$179,"Health Insurance (Summer)",'rates, dates, etc'!Z171:Z179))</f>
        <v>0</v>
      </c>
      <c r="W69" s="4">
        <f>(SUMIF('rates, dates, etc'!$R$171:$R$179,"Health Insurance (Fall)",'rates, dates, etc'!AA171:AA179))+
(SUMIF('rates, dates, etc'!$R$171:$R$179,"Health Insurance (Spring)",'rates, dates, etc'!AA171:AA179))+
(SUMIF('rates, dates, etc'!$R$171:$R$179,"Health Insurance (Summer)",'rates, dates, etc'!AA171:AA179))</f>
        <v>0</v>
      </c>
      <c r="X69" s="4">
        <f>(SUMIF('rates, dates, etc'!$R$171:$R$179,"Health Insurance (Fall)",'rates, dates, etc'!AB171:AB179))+
(SUMIF('rates, dates, etc'!$R$171:$R$179,"Health Insurance (Spring)",'rates, dates, etc'!AB171:AB179))+
(SUMIF('rates, dates, etc'!$R$171:$R$179,"Health Insurance (Summer)",'rates, dates, etc'!AB171:AB179))</f>
        <v>0</v>
      </c>
      <c r="Y69" s="5">
        <f t="shared" si="43"/>
        <v>0</v>
      </c>
    </row>
    <row r="70" spans="2:27" ht="10.5" thickBot="1" x14ac:dyDescent="0.25">
      <c r="N70" s="13" t="s">
        <v>31</v>
      </c>
      <c r="O70" s="16">
        <f>SUM(O66:O69)</f>
        <v>0</v>
      </c>
      <c r="P70" s="16">
        <f>SUM(P66:P69)</f>
        <v>0</v>
      </c>
      <c r="Q70" s="16">
        <f>SUM(Q66:Q69)</f>
        <v>0</v>
      </c>
      <c r="R70" s="16">
        <f>SUM(R66:R69)</f>
        <v>0</v>
      </c>
      <c r="S70" s="16">
        <f>SUM(S66:S69)</f>
        <v>0</v>
      </c>
      <c r="T70" s="16">
        <f t="shared" ref="T70:X70" si="44">SUM(T66:T69)</f>
        <v>0</v>
      </c>
      <c r="U70" s="16">
        <f t="shared" si="44"/>
        <v>0</v>
      </c>
      <c r="V70" s="16">
        <f t="shared" si="44"/>
        <v>0</v>
      </c>
      <c r="W70" s="16">
        <f t="shared" si="44"/>
        <v>0</v>
      </c>
      <c r="X70" s="16">
        <f t="shared" si="44"/>
        <v>0</v>
      </c>
      <c r="Y70" s="5">
        <f t="shared" si="43"/>
        <v>0</v>
      </c>
    </row>
    <row r="72" spans="2:27" x14ac:dyDescent="0.2">
      <c r="Q72" s="2"/>
      <c r="R72" s="2">
        <f>+E22-'Lead Budget'!E22</f>
        <v>0</v>
      </c>
      <c r="S72" s="2">
        <f>+F22-'Lead Budget'!F22</f>
        <v>0</v>
      </c>
    </row>
    <row r="74" spans="2:27" x14ac:dyDescent="0.2">
      <c r="N74" s="44" t="s">
        <v>33</v>
      </c>
    </row>
    <row r="75" spans="2:27" ht="10.5" x14ac:dyDescent="0.25">
      <c r="N75" s="64" t="s">
        <v>103</v>
      </c>
      <c r="O75" s="65" t="str">
        <f>+'rates, dates, etc'!AE5</f>
        <v>FY2024</v>
      </c>
      <c r="P75" s="65" t="str">
        <f>+'rates, dates, etc'!AF5</f>
        <v>FY2025</v>
      </c>
      <c r="Q75" s="65" t="str">
        <f>+'rates, dates, etc'!AG5</f>
        <v>FY2026</v>
      </c>
      <c r="R75" s="65" t="str">
        <f>+'rates, dates, etc'!AH5</f>
        <v>FY2027</v>
      </c>
      <c r="S75" s="65" t="str">
        <f>+'rates, dates, etc'!AI5</f>
        <v>FY2028</v>
      </c>
      <c r="T75" s="65" t="str">
        <f>+'rates, dates, etc'!AJ5</f>
        <v>FY2029</v>
      </c>
      <c r="U75" s="65" t="str">
        <f>+'rates, dates, etc'!AK5</f>
        <v>FY2030</v>
      </c>
      <c r="V75" s="65" t="str">
        <f>+'rates, dates, etc'!AL5</f>
        <v>FY2031</v>
      </c>
      <c r="W75" s="65" t="str">
        <f>+'rates, dates, etc'!AM5</f>
        <v>FY2032</v>
      </c>
      <c r="X75" s="65" t="str">
        <f>+'rates, dates, etc'!AN5</f>
        <v>FY2033</v>
      </c>
      <c r="Y75" s="65" t="str">
        <f>+'rates, dates, etc'!AO5</f>
        <v>FY2034</v>
      </c>
      <c r="Z75" s="65"/>
      <c r="AA75" s="65"/>
    </row>
    <row r="76" spans="2:27" x14ac:dyDescent="0.2">
      <c r="N76" s="2" t="str">
        <f>+'rates, dates, etc'!A113</f>
        <v xml:space="preserve">   Endowed - Senior Personnel</v>
      </c>
      <c r="O76" s="9">
        <f>IF('rates, dates, etc'!B112='rates, dates, etc'!AE5,'rates, dates, etc'!B113,'rates, dates, etc'!C113)</f>
        <v>0.37</v>
      </c>
      <c r="P76" s="9">
        <f>IF('rates, dates, etc'!C112='rates, dates, etc'!AF5,'rates, dates, etc'!C113,'rates, dates, etc'!D113)</f>
        <v>0.37</v>
      </c>
      <c r="Q76" s="9">
        <f>IF('rates, dates, etc'!D112='rates, dates, etc'!AG5,'rates, dates, etc'!D113,'rates, dates, etc'!E113)</f>
        <v>0.37</v>
      </c>
      <c r="R76" s="9">
        <f>IF('rates, dates, etc'!E112='rates, dates, etc'!AH5,'rates, dates, etc'!E113,'rates, dates, etc'!F113)</f>
        <v>0.37</v>
      </c>
      <c r="S76" s="9">
        <f>IF('rates, dates, etc'!F112='rates, dates, etc'!AI5,'rates, dates, etc'!F113,'rates, dates, etc'!G113)</f>
        <v>0.37</v>
      </c>
      <c r="T76" s="9">
        <f>IF('rates, dates, etc'!G112='rates, dates, etc'!AJ5,'rates, dates, etc'!G113,'rates, dates, etc'!H113)</f>
        <v>0.37</v>
      </c>
      <c r="U76" s="9">
        <f>IF('rates, dates, etc'!H112='rates, dates, etc'!AK5,'rates, dates, etc'!H113,'rates, dates, etc'!I113)</f>
        <v>0.37</v>
      </c>
      <c r="V76" s="9">
        <f>IF('rates, dates, etc'!I112='rates, dates, etc'!AL5,'rates, dates, etc'!I113,'rates, dates, etc'!J113)</f>
        <v>0.37</v>
      </c>
      <c r="W76" s="9">
        <f>IF('rates, dates, etc'!J112='rates, dates, etc'!AM5,'rates, dates, etc'!J113,'rates, dates, etc'!K113)</f>
        <v>0.37</v>
      </c>
      <c r="X76" s="9">
        <f>IF('rates, dates, etc'!K112='rates, dates, etc'!AN5,'rates, dates, etc'!K113,'rates, dates, etc'!L113)</f>
        <v>0.37</v>
      </c>
      <c r="Y76" s="9">
        <f>IF('rates, dates, etc'!L112='rates, dates, etc'!AO5,'rates, dates, etc'!L113,'rates, dates, etc'!M113)</f>
        <v>0.37</v>
      </c>
      <c r="Z76" s="9"/>
      <c r="AA76" s="9"/>
    </row>
    <row r="77" spans="2:27" x14ac:dyDescent="0.2">
      <c r="O77" s="1"/>
      <c r="P77" s="1"/>
    </row>
    <row r="78" spans="2:27" ht="10.5" x14ac:dyDescent="0.25">
      <c r="N78" s="64" t="s">
        <v>104</v>
      </c>
      <c r="O78" s="45" t="str">
        <f>+'rates, dates, etc'!AE4</f>
        <v>FY2024</v>
      </c>
      <c r="P78" s="45" t="str">
        <f>+'rates, dates, etc'!AF4</f>
        <v>FY2025</v>
      </c>
      <c r="Q78" s="45" t="str">
        <f>+'rates, dates, etc'!AG4</f>
        <v>FY2026</v>
      </c>
      <c r="R78" s="45" t="str">
        <f>+'rates, dates, etc'!AH4</f>
        <v>FY2027</v>
      </c>
      <c r="S78" s="45" t="str">
        <f>+'rates, dates, etc'!AI4</f>
        <v>FY2028</v>
      </c>
      <c r="T78" s="45" t="str">
        <f>+'rates, dates, etc'!AJ4</f>
        <v>FY2029</v>
      </c>
      <c r="U78" s="45" t="str">
        <f>+'rates, dates, etc'!AK4</f>
        <v>FY2030</v>
      </c>
      <c r="V78" s="45" t="str">
        <f>+'rates, dates, etc'!AL4</f>
        <v>FY2031</v>
      </c>
      <c r="W78" s="45" t="str">
        <f>+'rates, dates, etc'!AM4</f>
        <v>FY2032</v>
      </c>
      <c r="X78" s="45" t="str">
        <f>+'rates, dates, etc'!AN4</f>
        <v>FY2033</v>
      </c>
      <c r="Y78" s="45" t="str">
        <f>+'rates, dates, etc'!AO4</f>
        <v>FY2034</v>
      </c>
      <c r="Z78" s="45" t="str">
        <f>+'rates, dates, etc'!AP4</f>
        <v>FY2035</v>
      </c>
      <c r="AA78" s="45"/>
    </row>
    <row r="79" spans="2:27" x14ac:dyDescent="0.2">
      <c r="N79" s="2" t="str">
        <f>+'rates, dates, etc'!A113</f>
        <v xml:space="preserve">   Endowed - Senior Personnel</v>
      </c>
      <c r="O79" s="123">
        <f>+'rates, dates, etc'!B113</f>
        <v>0.37</v>
      </c>
      <c r="P79" s="123">
        <f>+'rates, dates, etc'!C113</f>
        <v>0.37</v>
      </c>
      <c r="Q79" s="123">
        <f>+'rates, dates, etc'!D113</f>
        <v>0.37</v>
      </c>
      <c r="R79" s="123">
        <f>+'rates, dates, etc'!E113</f>
        <v>0.37</v>
      </c>
      <c r="S79" s="123">
        <f>+'rates, dates, etc'!F113</f>
        <v>0.37</v>
      </c>
      <c r="T79" s="123">
        <f>+'rates, dates, etc'!G113</f>
        <v>0.37</v>
      </c>
      <c r="U79" s="123">
        <f>+'rates, dates, etc'!H113</f>
        <v>0.37</v>
      </c>
      <c r="V79" s="123">
        <f>+'rates, dates, etc'!I113</f>
        <v>0.37</v>
      </c>
      <c r="W79" s="123">
        <f>+'rates, dates, etc'!J113</f>
        <v>0.37</v>
      </c>
      <c r="X79" s="123">
        <f>+'rates, dates, etc'!K113</f>
        <v>0.37</v>
      </c>
      <c r="Y79" s="123">
        <f>+'rates, dates, etc'!L113</f>
        <v>0.37</v>
      </c>
      <c r="Z79" s="123">
        <f>+'rates, dates, etc'!M113</f>
        <v>0.37</v>
      </c>
      <c r="AA79" s="123"/>
    </row>
    <row r="80" spans="2:27" x14ac:dyDescent="0.2">
      <c r="N80" s="2" t="str">
        <f>+'rates, dates, etc'!A114</f>
        <v xml:space="preserve">   Endowed - Post Doc</v>
      </c>
      <c r="O80" s="1">
        <f>+'rates, dates, etc'!B114</f>
        <v>0.37</v>
      </c>
      <c r="P80" s="1">
        <f>+'rates, dates, etc'!C114</f>
        <v>0.37</v>
      </c>
      <c r="Q80" s="1">
        <f>+'rates, dates, etc'!D114</f>
        <v>0.37</v>
      </c>
      <c r="R80" s="1">
        <f>+'rates, dates, etc'!E114</f>
        <v>0.37</v>
      </c>
      <c r="S80" s="1">
        <f>+'rates, dates, etc'!F114</f>
        <v>0.37</v>
      </c>
      <c r="T80" s="1">
        <f>+'rates, dates, etc'!G114</f>
        <v>0.37</v>
      </c>
      <c r="U80" s="1">
        <f>+'rates, dates, etc'!H114</f>
        <v>0.37</v>
      </c>
      <c r="V80" s="1">
        <f>+'rates, dates, etc'!I114</f>
        <v>0.37</v>
      </c>
      <c r="W80" s="1">
        <f>+'rates, dates, etc'!J114</f>
        <v>0.37</v>
      </c>
      <c r="X80" s="1">
        <f>+'rates, dates, etc'!K114</f>
        <v>0.37</v>
      </c>
      <c r="Y80" s="1">
        <f>+'rates, dates, etc'!L114</f>
        <v>0.37</v>
      </c>
      <c r="Z80" s="1">
        <f>+'rates, dates, etc'!M114</f>
        <v>0.37</v>
      </c>
    </row>
    <row r="81" spans="14:26" x14ac:dyDescent="0.2">
      <c r="N81" s="2" t="str">
        <f>+'rates, dates, etc'!A115</f>
        <v xml:space="preserve">   Endowed - Other Employee</v>
      </c>
      <c r="O81" s="1">
        <f>+'rates, dates, etc'!B115</f>
        <v>0.37</v>
      </c>
      <c r="P81" s="1">
        <f>+'rates, dates, etc'!C115</f>
        <v>0.37</v>
      </c>
      <c r="Q81" s="1">
        <f>+'rates, dates, etc'!D115</f>
        <v>0.37</v>
      </c>
      <c r="R81" s="1">
        <f>+'rates, dates, etc'!E115</f>
        <v>0.37</v>
      </c>
      <c r="S81" s="1">
        <f>+'rates, dates, etc'!F115</f>
        <v>0.37</v>
      </c>
      <c r="T81" s="1">
        <f>+'rates, dates, etc'!G115</f>
        <v>0.37</v>
      </c>
      <c r="U81" s="1">
        <f>+'rates, dates, etc'!H115</f>
        <v>0.37</v>
      </c>
      <c r="V81" s="1">
        <f>+'rates, dates, etc'!I115</f>
        <v>0.37</v>
      </c>
      <c r="W81" s="1">
        <f>+'rates, dates, etc'!J115</f>
        <v>0.37</v>
      </c>
      <c r="X81" s="1">
        <f>+'rates, dates, etc'!K115</f>
        <v>0.37</v>
      </c>
      <c r="Y81" s="1">
        <f>+'rates, dates, etc'!L115</f>
        <v>0.37</v>
      </c>
      <c r="Z81" s="1">
        <f>+'rates, dates, etc'!M115</f>
        <v>0.37</v>
      </c>
    </row>
    <row r="83" spans="14:26" ht="10.5" x14ac:dyDescent="0.25">
      <c r="N83" s="64" t="str">
        <f>+'rates, dates, etc'!A36</f>
        <v/>
      </c>
      <c r="O83" s="1" t="str">
        <f>+'rates, dates, etc'!B36</f>
        <v/>
      </c>
      <c r="P83" s="1" t="str">
        <f>+'rates, dates, etc'!C36</f>
        <v/>
      </c>
      <c r="Q83" s="1" t="str">
        <f>+'rates, dates, etc'!D36</f>
        <v/>
      </c>
      <c r="R83" s="1" t="str">
        <f>+'rates, dates, etc'!E36</f>
        <v/>
      </c>
      <c r="S83" s="1" t="str">
        <f>+'rates, dates, etc'!F36</f>
        <v/>
      </c>
      <c r="T83" s="1" t="str">
        <f>+'rates, dates, etc'!G36</f>
        <v/>
      </c>
      <c r="U83" s="1" t="str">
        <f>+'rates, dates, etc'!H36</f>
        <v/>
      </c>
      <c r="V83" s="1" t="str">
        <f>+'rates, dates, etc'!I36</f>
        <v/>
      </c>
      <c r="W83" s="1" t="str">
        <f>+'rates, dates, etc'!J36</f>
        <v/>
      </c>
      <c r="X83" s="1" t="str">
        <f>+'rates, dates, etc'!K36</f>
        <v/>
      </c>
      <c r="Y83" s="1" t="str">
        <f>+'rates, dates, etc'!L36</f>
        <v/>
      </c>
      <c r="Z83" s="1" t="str">
        <f>+'rates, dates, etc'!M36</f>
        <v/>
      </c>
    </row>
    <row r="84" spans="14:26" ht="10.5" x14ac:dyDescent="0.25">
      <c r="N84" s="64" t="str">
        <f>+'rates, dates, etc'!A116</f>
        <v>Cornell IDC Rate - Endowed College</v>
      </c>
      <c r="O84" s="1">
        <f>+'rates, dates, etc'!B116</f>
        <v>0.64</v>
      </c>
      <c r="P84" s="1">
        <f>+'rates, dates, etc'!C116</f>
        <v>0.64</v>
      </c>
      <c r="Q84" s="1">
        <f>+'rates, dates, etc'!D116</f>
        <v>0.64</v>
      </c>
      <c r="R84" s="1">
        <f>+'rates, dates, etc'!E116</f>
        <v>0.64</v>
      </c>
      <c r="S84" s="1">
        <f>+'rates, dates, etc'!F116</f>
        <v>0.64</v>
      </c>
      <c r="T84" s="1">
        <f>+'rates, dates, etc'!G116</f>
        <v>0.64</v>
      </c>
      <c r="U84" s="1">
        <f>+'rates, dates, etc'!H116</f>
        <v>0.64</v>
      </c>
      <c r="V84" s="1">
        <f>+'rates, dates, etc'!I116</f>
        <v>0.64</v>
      </c>
      <c r="W84" s="1">
        <f>+'rates, dates, etc'!J116</f>
        <v>0.64</v>
      </c>
      <c r="X84" s="1">
        <f>+'rates, dates, etc'!K116</f>
        <v>0.64</v>
      </c>
      <c r="Y84" s="1">
        <f>+'rates, dates, etc'!L116</f>
        <v>0.64</v>
      </c>
      <c r="Z84" s="1">
        <f>+'rates, dates, etc'!M116</f>
        <v>0.64</v>
      </c>
    </row>
    <row r="85" spans="14:26" x14ac:dyDescent="0.2">
      <c r="S85" s="5"/>
      <c r="T85" s="5"/>
    </row>
    <row r="86" spans="14:26" ht="10.5" x14ac:dyDescent="0.25">
      <c r="N86" s="47" t="str">
        <f>+'rates, dates, etc'!O34</f>
        <v>Pro-rating factor for 12 month appts.:</v>
      </c>
      <c r="O86" s="9" t="s">
        <v>36</v>
      </c>
      <c r="P86" s="9" t="s">
        <v>52</v>
      </c>
      <c r="S86" s="5"/>
      <c r="T86" s="5"/>
    </row>
    <row r="87" spans="14:26" x14ac:dyDescent="0.2">
      <c r="N87" s="48" t="s">
        <v>46</v>
      </c>
      <c r="O87" s="44">
        <f>+'rates, dates, etc'!P35</f>
        <v>12</v>
      </c>
      <c r="P87" s="44">
        <f>+'rates, dates, etc'!Q35</f>
        <v>1</v>
      </c>
      <c r="S87" s="5"/>
      <c r="T87" s="5"/>
    </row>
    <row r="88" spans="14:26" x14ac:dyDescent="0.2">
      <c r="N88" s="48" t="s">
        <v>47</v>
      </c>
      <c r="O88" s="44">
        <f>+'rates, dates, etc'!P36</f>
        <v>0</v>
      </c>
      <c r="P88" s="44">
        <f>+'rates, dates, etc'!Q36</f>
        <v>0</v>
      </c>
    </row>
    <row r="89" spans="14:26" x14ac:dyDescent="0.2">
      <c r="N89" s="46"/>
      <c r="O89" s="49">
        <f>SUM(O87:O88)</f>
        <v>12</v>
      </c>
      <c r="P89" s="1" t="s">
        <v>83</v>
      </c>
    </row>
    <row r="90" spans="14:26" x14ac:dyDescent="0.2">
      <c r="N90" s="1"/>
      <c r="O90" s="1"/>
      <c r="P90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C1E3BB4-AC09-4838-9837-5892F8A664C7}">
            <xm:f>'Budget Summary'!$L$104&lt;'Budget Summary'!$L$103</xm:f>
            <x14:dxf>
              <font>
                <color rgb="FFFF0000"/>
              </font>
            </x14:dxf>
          </x14:cfRule>
          <xm:sqref>A62:F62 L62</xm:sqref>
        </x14:conditionalFormatting>
        <x14:conditionalFormatting xmlns:xm="http://schemas.microsoft.com/office/excel/2006/main">
          <x14:cfRule type="expression" priority="6" id="{7C37CCD2-C41A-4B7D-9F57-C13AFBAD466B}">
            <xm:f>'Budget Summary'!$L$103&lt;'Budget Summary'!$L$104</xm:f>
            <x14:dxf>
              <font>
                <color rgb="FFFF0000"/>
              </font>
            </x14:dxf>
          </x14:cfRule>
          <xm:sqref>A61:L61</xm:sqref>
        </x14:conditionalFormatting>
        <x14:conditionalFormatting xmlns:xm="http://schemas.microsoft.com/office/excel/2006/main">
          <x14:cfRule type="expression" priority="7" stopIfTrue="1" id="{6490F554-5B70-46F2-9BE5-0BEDB2686438}">
            <xm:f>'rates, dates, etc'!$B$8="Yes"</xm:f>
            <x14:dxf>
              <font>
                <color rgb="FFFF0000"/>
              </font>
            </x14:dxf>
          </x14:cfRule>
          <xm:sqref>A62:F62 L62</xm:sqref>
        </x14:conditionalFormatting>
        <x14:conditionalFormatting xmlns:xm="http://schemas.microsoft.com/office/excel/2006/main">
          <x14:cfRule type="expression" priority="5" stopIfTrue="1" id="{6B440B89-410C-481B-BEAD-B243AAC2B3FD}">
            <xm:f>'rates, dates, etc'!$B$8="Yes"</xm:f>
            <x14:dxf/>
          </x14:cfRule>
          <xm:sqref>A61:L61</xm:sqref>
        </x14:conditionalFormatting>
        <x14:conditionalFormatting xmlns:xm="http://schemas.microsoft.com/office/excel/2006/main">
          <x14:cfRule type="expression" priority="4" id="{091605FD-3225-4CEE-9051-D96562D00C78}">
            <xm:f>'Budget Summary'!$L$104&lt;'Budget Summary'!$L$103</xm:f>
            <x14:dxf>
              <font>
                <color rgb="FFFF0000"/>
              </font>
            </x14:dxf>
          </x14:cfRule>
          <xm:sqref>G62:K62</xm:sqref>
        </x14:conditionalFormatting>
        <x14:conditionalFormatting xmlns:xm="http://schemas.microsoft.com/office/excel/2006/main">
          <x14:cfRule type="expression" priority="3" stopIfTrue="1" id="{F3A6CC4F-D7CD-4220-8970-4CE0F39D3DD5}">
            <xm:f>'rates, dates, etc'!$B$8="Yes"</xm:f>
            <x14:dxf>
              <font>
                <color rgb="FFFF0000"/>
              </font>
            </x14:dxf>
          </x14:cfRule>
          <xm:sqref>G62:K62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Z95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etc'!A16)</f>
        <v>Cornell University - Co-PI Budget (2)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63"/>
    </row>
    <row r="5" spans="1:13" ht="11" thickBot="1" x14ac:dyDescent="0.3">
      <c r="A5" s="68" t="str">
        <f>CONCATENATE("Co-PI: ",'rates, dates, etc'!B16)</f>
        <v>Co-PI: Co-PI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G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si="5"/>
        <v>47299</v>
      </c>
      <c r="H6" s="245">
        <f t="shared" ref="H6:K6" si="6">DATE(YEAR(H5), MONTH(H5) + 12, DAY(H5))-1</f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etc'!A204</f>
        <v>Co-PI</v>
      </c>
      <c r="B8" s="17">
        <f>HLOOKUP(B$4,'rates, dates, etc'!B203:I209,7,FALSE)</f>
        <v>0</v>
      </c>
      <c r="C8" s="17">
        <f>HLOOKUP(C$4,'rates, dates, etc'!C203:O209,7,FALSE)</f>
        <v>0</v>
      </c>
      <c r="D8" s="17">
        <f>HLOOKUP(D$4,'rates, dates, etc'!D203:P209,7,FALSE)</f>
        <v>0</v>
      </c>
      <c r="E8" s="17">
        <f>HLOOKUP(E$4,'rates, dates, etc'!E203:Q209,7,FALSE)</f>
        <v>0</v>
      </c>
      <c r="F8" s="17">
        <f>HLOOKUP(F$4,'rates, dates, etc'!F203:R209,7,FALSE)</f>
        <v>0</v>
      </c>
      <c r="G8" s="17">
        <f>HLOOKUP(G$4,'rates, dates, etc'!G203:S209,7,FALSE)</f>
        <v>0</v>
      </c>
      <c r="H8" s="17">
        <f>HLOOKUP(H$4,'rates, dates, etc'!H203:T209,7,FALSE)</f>
        <v>0</v>
      </c>
      <c r="I8" s="17">
        <f>HLOOKUP(I$4,'rates, dates, etc'!I203:U209,7,FALSE)</f>
        <v>0</v>
      </c>
      <c r="J8" s="17">
        <f>HLOOKUP(J$4,'rates, dates, etc'!J203:V209,7,FALSE)</f>
        <v>0</v>
      </c>
      <c r="K8" s="17">
        <f>HLOOKUP(K$4,'rates, dates, etc'!K203:W209,7,FALSE)</f>
        <v>0</v>
      </c>
      <c r="L8" s="83">
        <f>SUM(B8:K8)</f>
        <v>0</v>
      </c>
    </row>
    <row r="9" spans="1:13" x14ac:dyDescent="0.2">
      <c r="A9" s="3" t="str">
        <f>+'rates, dates, etc'!A212</f>
        <v>Co-PI</v>
      </c>
      <c r="B9" s="17">
        <f>HLOOKUP(B$4,'rates, dates, etc'!B211:I217,7,FALSE)</f>
        <v>0</v>
      </c>
      <c r="C9" s="17">
        <f>HLOOKUP(C$4,'rates, dates, etc'!C211:O217,7,FALSE)</f>
        <v>0</v>
      </c>
      <c r="D9" s="17">
        <f>HLOOKUP(D$4,'rates, dates, etc'!D211:P217,7,FALSE)</f>
        <v>0</v>
      </c>
      <c r="E9" s="17">
        <f>HLOOKUP(E$4,'rates, dates, etc'!E211:Q217,7,FALSE)</f>
        <v>0</v>
      </c>
      <c r="F9" s="17">
        <f>HLOOKUP(F$4,'rates, dates, etc'!F211:R217,7,FALSE)</f>
        <v>0</v>
      </c>
      <c r="G9" s="17">
        <f>HLOOKUP(G$4,'rates, dates, etc'!G211:S217,7,FALSE)</f>
        <v>0</v>
      </c>
      <c r="H9" s="17">
        <f>HLOOKUP(H$4,'rates, dates, etc'!H211:T217,7,FALSE)</f>
        <v>0</v>
      </c>
      <c r="I9" s="17">
        <f>HLOOKUP(I$4,'rates, dates, etc'!I211:U217,7,FALSE)</f>
        <v>0</v>
      </c>
      <c r="J9" s="17">
        <f>HLOOKUP(J$4,'rates, dates, etc'!J211:V217,7,FALSE)</f>
        <v>0</v>
      </c>
      <c r="K9" s="17">
        <f>HLOOKUP(K$4,'rates, dates, etc'!K211:W217,7,FALSE)</f>
        <v>0</v>
      </c>
      <c r="L9" s="83">
        <f>SUM(B9:K9)</f>
        <v>0</v>
      </c>
    </row>
    <row r="10" spans="1:13" x14ac:dyDescent="0.2">
      <c r="A10" s="3" t="str">
        <f>+'rates, dates, etc'!A220</f>
        <v>Co-PI</v>
      </c>
      <c r="B10" s="17">
        <f>HLOOKUP(B$4,'rates, dates, etc'!B219:I225,7,FALSE)</f>
        <v>0</v>
      </c>
      <c r="C10" s="17">
        <f>HLOOKUP(C$4,'rates, dates, etc'!C219:O225,7,FALSE)</f>
        <v>0</v>
      </c>
      <c r="D10" s="17">
        <f>HLOOKUP(D$4,'rates, dates, etc'!D219:P225,7,FALSE)</f>
        <v>0</v>
      </c>
      <c r="E10" s="17">
        <f>HLOOKUP(E$4,'rates, dates, etc'!E219:Q225,7,FALSE)</f>
        <v>0</v>
      </c>
      <c r="F10" s="17">
        <f>HLOOKUP(F$4,'rates, dates, etc'!F219:R225,7,FALSE)</f>
        <v>0</v>
      </c>
      <c r="G10" s="17">
        <f>HLOOKUP(G$4,'rates, dates, etc'!G219:S225,7,FALSE)</f>
        <v>0</v>
      </c>
      <c r="H10" s="17">
        <f>HLOOKUP(H$4,'rates, dates, etc'!H219:T225,7,FALSE)</f>
        <v>0</v>
      </c>
      <c r="I10" s="17">
        <f>HLOOKUP(I$4,'rates, dates, etc'!I219:U225,7,FALSE)</f>
        <v>0</v>
      </c>
      <c r="J10" s="17">
        <f>HLOOKUP(J$4,'rates, dates, etc'!J219:V225,7,FALSE)</f>
        <v>0</v>
      </c>
      <c r="K10" s="17">
        <f>HLOOKUP(K$4,'rates, dates, etc'!K219:W225,7,FALSE)</f>
        <v>0</v>
      </c>
      <c r="L10" s="83">
        <f>SUM(B10:K10)</f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K11" si="7">SUM(C7:C10)</f>
        <v>0</v>
      </c>
      <c r="D11" s="6">
        <f t="shared" si="7"/>
        <v>0</v>
      </c>
      <c r="E11" s="6">
        <f t="shared" si="7"/>
        <v>0</v>
      </c>
      <c r="F11" s="6">
        <f t="shared" si="7"/>
        <v>0</v>
      </c>
      <c r="G11" s="6">
        <f t="shared" si="7"/>
        <v>0</v>
      </c>
      <c r="H11" s="6">
        <f t="shared" si="7"/>
        <v>0</v>
      </c>
      <c r="I11" s="6">
        <f t="shared" si="7"/>
        <v>0</v>
      </c>
      <c r="J11" s="6">
        <f t="shared" si="7"/>
        <v>0</v>
      </c>
      <c r="K11" s="6">
        <f t="shared" si="7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etc'!A228</f>
        <v>Post Doctoral Scholar(s)</v>
      </c>
      <c r="B13" s="5">
        <f>HLOOKUP(B$4,'rates, dates, etc'!B227:I232,6,FALSE)</f>
        <v>0</v>
      </c>
      <c r="C13" s="5">
        <f>HLOOKUP(C$4,'rates, dates, etc'!C227:O232,6,FALSE)</f>
        <v>0</v>
      </c>
      <c r="D13" s="5">
        <f>HLOOKUP(D$4,'rates, dates, etc'!D227:P232,6,FALSE)</f>
        <v>0</v>
      </c>
      <c r="E13" s="5">
        <f>HLOOKUP(E$4,'rates, dates, etc'!E227:Q232,6,FALSE)</f>
        <v>0</v>
      </c>
      <c r="F13" s="5">
        <f>HLOOKUP(F$4,'rates, dates, etc'!F227:R232,6,FALSE)</f>
        <v>0</v>
      </c>
      <c r="G13" s="5">
        <f>HLOOKUP(G$4,'rates, dates, etc'!G227:S232,6,FALSE)</f>
        <v>0</v>
      </c>
      <c r="H13" s="5">
        <f>HLOOKUP(H$4,'rates, dates, etc'!H227:T232,6,FALSE)</f>
        <v>0</v>
      </c>
      <c r="I13" s="5">
        <f>HLOOKUP(I$4,'rates, dates, etc'!I227:U232,6,FALSE)</f>
        <v>0</v>
      </c>
      <c r="J13" s="5">
        <f>HLOOKUP(J$4,'rates, dates, etc'!J227:V232,6,FALSE)</f>
        <v>0</v>
      </c>
      <c r="K13" s="5">
        <f>HLOOKUP(K$4,'rates, dates, etc'!K227:W232,6,FALSE)</f>
        <v>0</v>
      </c>
      <c r="L13" s="83">
        <f>SUM(B13:K13)</f>
        <v>0</v>
      </c>
    </row>
    <row r="14" spans="1:13" x14ac:dyDescent="0.2">
      <c r="A14" s="3" t="str">
        <f>+'rates, dates, etc'!A235</f>
        <v>Other Professional(s) (Technicians, etc)</v>
      </c>
      <c r="B14" s="5">
        <f>HLOOKUP(B$4,'rates, dates, etc'!B234:I239,6,FALSE)</f>
        <v>0</v>
      </c>
      <c r="C14" s="5">
        <f>HLOOKUP(C$4,'rates, dates, etc'!C234:O239,6,FALSE)</f>
        <v>0</v>
      </c>
      <c r="D14" s="5">
        <f>HLOOKUP(D$4,'rates, dates, etc'!D234:P239,6,FALSE)</f>
        <v>0</v>
      </c>
      <c r="E14" s="5">
        <f>HLOOKUP(E$4,'rates, dates, etc'!E234:Q239,6,FALSE)</f>
        <v>0</v>
      </c>
      <c r="F14" s="5">
        <f>HLOOKUP(F$4,'rates, dates, etc'!F234:R239,6,FALSE)</f>
        <v>0</v>
      </c>
      <c r="G14" s="5">
        <f>HLOOKUP(G$4,'rates, dates, etc'!G234:S239,6,FALSE)</f>
        <v>0</v>
      </c>
      <c r="H14" s="5">
        <f>HLOOKUP(H$4,'rates, dates, etc'!H234:T239,6,FALSE)</f>
        <v>0</v>
      </c>
      <c r="I14" s="5">
        <f>HLOOKUP(I$4,'rates, dates, etc'!I234:U239,6,FALSE)</f>
        <v>0</v>
      </c>
      <c r="J14" s="5">
        <f>HLOOKUP(J$4,'rates, dates, etc'!J234:V239,6,FALSE)</f>
        <v>0</v>
      </c>
      <c r="K14" s="5">
        <f>HLOOKUP(K$4,'rates, dates, etc'!K234:W239,6,FALSE)</f>
        <v>0</v>
      </c>
      <c r="L14" s="83">
        <f t="shared" ref="L14:L18" si="8">SUM(B14:K14)</f>
        <v>0</v>
      </c>
    </row>
    <row r="15" spans="1:13" x14ac:dyDescent="0.2">
      <c r="A15" s="3" t="str">
        <f>+'rates, dates, etc'!A241</f>
        <v>Graduate Student(s)</v>
      </c>
      <c r="B15" s="5">
        <f>O68+O69</f>
        <v>0</v>
      </c>
      <c r="C15" s="5">
        <f t="shared" ref="C15:F15" si="9">P68+P69</f>
        <v>0</v>
      </c>
      <c r="D15" s="5">
        <f t="shared" si="9"/>
        <v>0</v>
      </c>
      <c r="E15" s="5">
        <f t="shared" si="9"/>
        <v>0</v>
      </c>
      <c r="F15" s="5">
        <f t="shared" si="9"/>
        <v>0</v>
      </c>
      <c r="G15" s="5">
        <f t="shared" ref="G15" si="10">T68+T69</f>
        <v>0</v>
      </c>
      <c r="H15" s="5">
        <f t="shared" ref="H15" si="11">U68+U69</f>
        <v>0</v>
      </c>
      <c r="I15" s="5">
        <f t="shared" ref="I15" si="12">V68+V69</f>
        <v>0</v>
      </c>
      <c r="J15" s="5">
        <f t="shared" ref="J15" si="13">W68+W69</f>
        <v>0</v>
      </c>
      <c r="K15" s="5">
        <f t="shared" ref="K15" si="14">X68+X69</f>
        <v>0</v>
      </c>
      <c r="L15" s="83">
        <f t="shared" si="8"/>
        <v>0</v>
      </c>
    </row>
    <row r="16" spans="1:13" x14ac:dyDescent="0.2">
      <c r="A16" s="3" t="str">
        <f>+'rates, dates, etc'!A246</f>
        <v>Undergraduate Student(s)</v>
      </c>
      <c r="B16" s="5">
        <f>+'rates, dates, etc'!B254</f>
        <v>0</v>
      </c>
      <c r="C16" s="5">
        <f>+'rates, dates, etc'!C254</f>
        <v>0</v>
      </c>
      <c r="D16" s="5">
        <f>+'rates, dates, etc'!D254</f>
        <v>0</v>
      </c>
      <c r="E16" s="5">
        <f>+'rates, dates, etc'!E254</f>
        <v>0</v>
      </c>
      <c r="F16" s="5">
        <f>+'rates, dates, etc'!F254</f>
        <v>0</v>
      </c>
      <c r="G16" s="5">
        <f>+'rates, dates, etc'!G254</f>
        <v>0</v>
      </c>
      <c r="H16" s="5">
        <f>+'rates, dates, etc'!H254</f>
        <v>0</v>
      </c>
      <c r="I16" s="5">
        <f>+'rates, dates, etc'!I254</f>
        <v>0</v>
      </c>
      <c r="J16" s="5">
        <f>+'rates, dates, etc'!J254</f>
        <v>0</v>
      </c>
      <c r="K16" s="5">
        <f>+'rates, dates, etc'!K254</f>
        <v>0</v>
      </c>
      <c r="L16" s="83">
        <f t="shared" si="8"/>
        <v>0</v>
      </c>
    </row>
    <row r="17" spans="1:12" x14ac:dyDescent="0.2">
      <c r="A17" s="3" t="str">
        <f>+'rates, dates, etc'!A257</f>
        <v>Other</v>
      </c>
      <c r="B17" s="5">
        <f>HLOOKUP(B$4,'rates, dates, etc'!B256:I261,6,FALSE)</f>
        <v>0</v>
      </c>
      <c r="C17" s="5">
        <f>HLOOKUP(C$4,'rates, dates, etc'!C256:O261,6,FALSE)</f>
        <v>0</v>
      </c>
      <c r="D17" s="5">
        <f>HLOOKUP(D$4,'rates, dates, etc'!D256:P261,6,FALSE)</f>
        <v>0</v>
      </c>
      <c r="E17" s="5">
        <f>HLOOKUP(E$4,'rates, dates, etc'!E256:Q261,6,FALSE)</f>
        <v>0</v>
      </c>
      <c r="F17" s="5">
        <f>HLOOKUP(F$4,'rates, dates, etc'!F256:R261,6,FALSE)</f>
        <v>0</v>
      </c>
      <c r="G17" s="5">
        <f>HLOOKUP(G$4,'rates, dates, etc'!G256:S261,6,FALSE)</f>
        <v>0</v>
      </c>
      <c r="H17" s="5">
        <f>HLOOKUP(H$4,'rates, dates, etc'!H256:T261,6,FALSE)</f>
        <v>0</v>
      </c>
      <c r="I17" s="5">
        <f>HLOOKUP(I$4,'rates, dates, etc'!I256:U261,6,FALSE)</f>
        <v>0</v>
      </c>
      <c r="J17" s="5">
        <f>HLOOKUP(J$4,'rates, dates, etc'!J256:V261,6,FALSE)</f>
        <v>0</v>
      </c>
      <c r="K17" s="5">
        <f>HLOOKUP(K$4,'rates, dates, etc'!K256:W261,6,FALSE)</f>
        <v>0</v>
      </c>
      <c r="L17" s="83">
        <f t="shared" si="8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8"/>
        <v>0</v>
      </c>
    </row>
    <row r="19" spans="1:12" ht="10.5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K19" si="15">SUM(D12:D18)</f>
        <v>0</v>
      </c>
      <c r="E19" s="6">
        <f>SUM(E12:E18)</f>
        <v>0</v>
      </c>
      <c r="F19" s="6">
        <f t="shared" si="15"/>
        <v>0</v>
      </c>
      <c r="G19" s="6">
        <f t="shared" si="15"/>
        <v>0</v>
      </c>
      <c r="H19" s="6">
        <f t="shared" si="15"/>
        <v>0</v>
      </c>
      <c r="I19" s="6">
        <f t="shared" si="15"/>
        <v>0</v>
      </c>
      <c r="J19" s="6">
        <f t="shared" si="15"/>
        <v>0</v>
      </c>
      <c r="K19" s="6">
        <f t="shared" si="15"/>
        <v>0</v>
      </c>
      <c r="L19" s="86">
        <f>SUM(L12:L18)</f>
        <v>0</v>
      </c>
    </row>
    <row r="20" spans="1:12" ht="10.5" x14ac:dyDescent="0.25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etc'!$O205=9,ROUND((+B8*O$78),0),ROUND((+B8*O$81*$P$89)+(B8*P$81*$P$90),0))</f>
        <v>0</v>
      </c>
      <c r="C21" s="17">
        <f>IF('rates, dates, etc'!$O205=9,ROUND((+C8*P$78),0),ROUND((+C8*P$81*$P$89)+(C8*Q$81*$P$90),0))</f>
        <v>0</v>
      </c>
      <c r="D21" s="17">
        <f>IF('rates, dates, etc'!$O205=9,ROUND((+D8*Q$78),0),ROUND((+D8*Q$81*$P$89)+(D8*R$81*$P$90),0))</f>
        <v>0</v>
      </c>
      <c r="E21" s="17">
        <f>IF('rates, dates, etc'!$O205=9,ROUND((+E8*R$78),0),ROUND((+E8*R$81*$P$89)+(E8*S$81*$P$90),0))</f>
        <v>0</v>
      </c>
      <c r="F21" s="17">
        <f>IF('rates, dates, etc'!$O205=9,ROUND((+F8*S$78),0),ROUND((+F8*S$81*$P$89)+(F8*T$81*$P$90),0))</f>
        <v>0</v>
      </c>
      <c r="G21" s="17">
        <f>IF('rates, dates, etc'!$O205=9,ROUND((+G8*T$78),0),ROUND((+G8*T$81*$P$89)+(G8*U$81*$P$90),0))</f>
        <v>0</v>
      </c>
      <c r="H21" s="17">
        <f>IF('rates, dates, etc'!$O205=9,ROUND((+H8*U$78),0),ROUND((+H8*U$81*$P$89)+(H8*V$81*$P$90),0))</f>
        <v>0</v>
      </c>
      <c r="I21" s="17">
        <f>IF('rates, dates, etc'!$O205=9,ROUND((+I8*V$78),0),ROUND((+I8*V$81*$P$89)+(I8*W$81*$P$90),0))</f>
        <v>0</v>
      </c>
      <c r="J21" s="17">
        <f>IF('rates, dates, etc'!$O205=9,ROUND((+J8*W$78),0),ROUND((+J8*W$81*$P$89)+(J8*X$81*$P$90),0))</f>
        <v>0</v>
      </c>
      <c r="K21" s="17">
        <f>IF('rates, dates, etc'!$O205=9,ROUND((+K8*X$78),0),ROUND((+K8*X$81*$P$89)+(K8*Y$81*$P$90),0))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etc'!$O213=9,ROUND((+B9*O$78),0),ROUND((+B9*O$81*$P$89)+(B9*P$81*$P$90),0))</f>
        <v>0</v>
      </c>
      <c r="C22" s="17">
        <f>IF('rates, dates, etc'!$O213=9,ROUND((+C9*P$78),0),ROUND((+C9*P$81*$P$89)+(C9*Q$81*$P$90),0))</f>
        <v>0</v>
      </c>
      <c r="D22" s="17">
        <f>IF('rates, dates, etc'!$O213=9,ROUND((+D9*Q$78),0),ROUND((+D9*Q$81*$P$89)+(D9*R$81*$P$90),0))</f>
        <v>0</v>
      </c>
      <c r="E22" s="17">
        <f>IF('rates, dates, etc'!$O213=9,ROUND((+E9*R$78),0),ROUND((+E9*R$81*$P$89)+(E9*S$81*$P$90),0))</f>
        <v>0</v>
      </c>
      <c r="F22" s="17">
        <f>IF('rates, dates, etc'!$O213=9,ROUND((+F9*S$78),0),ROUND((+F9*S$81*$P$89)+(F9*T$81*$P$90),0))</f>
        <v>0</v>
      </c>
      <c r="G22" s="17">
        <f>IF('rates, dates, etc'!$O213=9,ROUND((+G9*T$78),0),ROUND((+G9*T$81*$P$89)+(G9*U$81*$P$90),0))</f>
        <v>0</v>
      </c>
      <c r="H22" s="17">
        <f>IF('rates, dates, etc'!$O213=9,ROUND((+H9*U$78),0),ROUND((+H9*U$81*$P$89)+(H9*V$81*$P$90),0))</f>
        <v>0</v>
      </c>
      <c r="I22" s="17">
        <f>IF('rates, dates, etc'!$O213=9,ROUND((+I9*V$78),0),ROUND((+I9*V$81*$P$89)+(I9*W$81*$P$90),0))</f>
        <v>0</v>
      </c>
      <c r="J22" s="17">
        <f>IF('rates, dates, etc'!$O213=9,ROUND((+J9*W$78),0),ROUND((+J9*W$81*$P$89)+(J9*X$81*$P$90),0))</f>
        <v>0</v>
      </c>
      <c r="K22" s="17">
        <f>IF('rates, dates, etc'!$O213=9,ROUND((+K9*X$78),0),ROUND((+K9*X$81*$P$89)+(K9*Y$81*$P$90),0))</f>
        <v>0</v>
      </c>
      <c r="L22" s="83">
        <f t="shared" ref="L22:L26" si="16">SUM(B22:K22)</f>
        <v>0</v>
      </c>
    </row>
    <row r="23" spans="1:12" x14ac:dyDescent="0.2">
      <c r="A23" s="3" t="str">
        <f>+A10</f>
        <v>Co-PI</v>
      </c>
      <c r="B23" s="17">
        <f>IF('rates, dates, etc'!$O221=9,ROUND((+B10*O$78),0),ROUND((+B10*O$81*$P$89)+(B10*P$81*$P$90),0))</f>
        <v>0</v>
      </c>
      <c r="C23" s="17">
        <f>IF('rates, dates, etc'!$O221=9,ROUND((+C10*P$78),0),ROUND((+C10*P$81*$P$89)+(C10*Q$81*$P$90),0))</f>
        <v>0</v>
      </c>
      <c r="D23" s="17">
        <f>IF('rates, dates, etc'!$O221=9,ROUND((+D10*Q$78),0),ROUND((+D10*Q$81*$P$89)+(D10*R$81*$P$90),0))</f>
        <v>0</v>
      </c>
      <c r="E23" s="17">
        <f>IF('rates, dates, etc'!$O221=9,ROUND((+E10*R$78),0),ROUND((+E10*R$81*$P$89)+(E10*S$81*$P$90),0))</f>
        <v>0</v>
      </c>
      <c r="F23" s="17">
        <f>IF('rates, dates, etc'!$O221=9,ROUND((+F10*S$78),0),ROUND((+F10*S$81*$P$89)+(F10*T$81*$P$90),0))</f>
        <v>0</v>
      </c>
      <c r="G23" s="17">
        <f>IF('rates, dates, etc'!$O221=9,ROUND((+G10*T$78),0),ROUND((+G10*T$81*$P$89)+(G10*U$81*$P$90),0))</f>
        <v>0</v>
      </c>
      <c r="H23" s="17">
        <f>IF('rates, dates, etc'!$O221=9,ROUND((+H10*U$78),0),ROUND((+H10*U$81*$P$89)+(H10*V$81*$P$90),0))</f>
        <v>0</v>
      </c>
      <c r="I23" s="17">
        <f>IF('rates, dates, etc'!$O221=9,ROUND((+I10*V$78),0),ROUND((+I10*V$81*$P$89)+(I10*W$81*$P$90),0))</f>
        <v>0</v>
      </c>
      <c r="J23" s="17">
        <f>IF('rates, dates, etc'!$O221=9,ROUND((+J10*W$78),0),ROUND((+J10*W$81*$P$89)+(J10*X$81*$P$90),0))</f>
        <v>0</v>
      </c>
      <c r="K23" s="17">
        <f>IF('rates, dates, etc'!$O221=9,ROUND((+K10*X$78),0),ROUND((+K10*X$81*$P$89)+(K10*Y$81*$P$90),0))</f>
        <v>0</v>
      </c>
      <c r="L23" s="83">
        <f t="shared" si="16"/>
        <v>0</v>
      </c>
    </row>
    <row r="24" spans="1:12" x14ac:dyDescent="0.2">
      <c r="A24" s="3" t="str">
        <f>+A13</f>
        <v>Post Doctoral Scholar(s)</v>
      </c>
      <c r="B24" s="17">
        <f t="shared" ref="B24:F25" si="17">ROUND((+B13*O82*$P$89)+(B13*P82*$P$90),0)</f>
        <v>0</v>
      </c>
      <c r="C24" s="17">
        <f t="shared" si="17"/>
        <v>0</v>
      </c>
      <c r="D24" s="17">
        <f t="shared" si="17"/>
        <v>0</v>
      </c>
      <c r="E24" s="17">
        <f t="shared" si="17"/>
        <v>0</v>
      </c>
      <c r="F24" s="17">
        <f t="shared" si="17"/>
        <v>0</v>
      </c>
      <c r="G24" s="17">
        <f t="shared" ref="G24:K24" si="18">ROUND((+G13*T82*$P$89)+(G13*U82*$P$90),0)</f>
        <v>0</v>
      </c>
      <c r="H24" s="17">
        <f t="shared" si="18"/>
        <v>0</v>
      </c>
      <c r="I24" s="17">
        <f t="shared" si="18"/>
        <v>0</v>
      </c>
      <c r="J24" s="17">
        <f t="shared" si="18"/>
        <v>0</v>
      </c>
      <c r="K24" s="17">
        <f t="shared" si="18"/>
        <v>0</v>
      </c>
      <c r="L24" s="83">
        <f t="shared" si="16"/>
        <v>0</v>
      </c>
    </row>
    <row r="25" spans="1:12" x14ac:dyDescent="0.2">
      <c r="A25" s="3" t="str">
        <f>+A14</f>
        <v>Other Professional(s) (Technicians, etc)</v>
      </c>
      <c r="B25" s="17">
        <f t="shared" si="17"/>
        <v>0</v>
      </c>
      <c r="C25" s="17">
        <f t="shared" si="17"/>
        <v>0</v>
      </c>
      <c r="D25" s="17">
        <f t="shared" si="17"/>
        <v>0</v>
      </c>
      <c r="E25" s="17">
        <f t="shared" si="17"/>
        <v>0</v>
      </c>
      <c r="F25" s="17">
        <f t="shared" si="17"/>
        <v>0</v>
      </c>
      <c r="G25" s="17">
        <f t="shared" ref="G25:K25" si="19">ROUND((+G14*T83*$P$89)+(G14*U83*$P$90),0)</f>
        <v>0</v>
      </c>
      <c r="H25" s="17">
        <f t="shared" si="19"/>
        <v>0</v>
      </c>
      <c r="I25" s="17">
        <f t="shared" si="19"/>
        <v>0</v>
      </c>
      <c r="J25" s="17">
        <f t="shared" si="19"/>
        <v>0</v>
      </c>
      <c r="K25" s="17">
        <f t="shared" si="19"/>
        <v>0</v>
      </c>
      <c r="L25" s="83">
        <f t="shared" si="16"/>
        <v>0</v>
      </c>
    </row>
    <row r="26" spans="1:12" x14ac:dyDescent="0.2">
      <c r="A26" s="3" t="str">
        <f>+A17</f>
        <v>Other</v>
      </c>
      <c r="B26" s="17">
        <f>IF('rates, dates, etc'!$O257=9,ROUND((+B17*O$78),0),ROUND((+B17*O$83*$P$89)+(B17*P$83*$P$90),0))</f>
        <v>0</v>
      </c>
      <c r="C26" s="17">
        <f>IF('rates, dates, etc'!$O257=9,ROUND((+C17*P$78),0),ROUND((+C17*P$83*$P$89)+(C17*Q$83*$P$90),0))</f>
        <v>0</v>
      </c>
      <c r="D26" s="17">
        <f>IF('rates, dates, etc'!$O257=9,ROUND((+D17*Q$78),0),ROUND((+D17*Q$83*$P$89)+(D17*R$83*$P$90),0))</f>
        <v>0</v>
      </c>
      <c r="E26" s="17">
        <f>IF('rates, dates, etc'!$O257=9,ROUND((+E17*R$78),0),ROUND((+E17*R$83*$P$89)+(E17*S$83*$P$90),0))</f>
        <v>0</v>
      </c>
      <c r="F26" s="17">
        <f>IF('rates, dates, etc'!$O257=9,ROUND((+F17*S$78),0),ROUND((+F17*S$83*$P$89)+(F17*T$83*$P$90),0))</f>
        <v>0</v>
      </c>
      <c r="G26" s="17">
        <f>IF('rates, dates, etc'!$O257=9,ROUND((+G17*T$78),0),ROUND((+G17*T$83*$P$89)+(G17*U$83*$P$90),0))</f>
        <v>0</v>
      </c>
      <c r="H26" s="17">
        <f>IF('rates, dates, etc'!$O257=9,ROUND((+H17*U$78),0),ROUND((+H17*U$83*$P$89)+(H17*V$83*$P$90),0))</f>
        <v>0</v>
      </c>
      <c r="I26" s="17">
        <f>IF('rates, dates, etc'!$O257=9,ROUND((+I17*V$78),0),ROUND((+I17*V$83*$P$89)+(I17*W$83*$P$90),0))</f>
        <v>0</v>
      </c>
      <c r="J26" s="17">
        <f>IF('rates, dates, etc'!$O257=9,ROUND((+J17*W$78),0),ROUND((+J17*W$83*$P$89)+(J17*X$83*$P$90),0))</f>
        <v>0</v>
      </c>
      <c r="K26" s="17">
        <f>IF('rates, dates, etc'!$O257=9,ROUND((+K17*X$78),0),ROUND((+K17*X$83*$P$89)+(K17*Y$83*$P$90),0))</f>
        <v>0</v>
      </c>
      <c r="L26" s="83">
        <f t="shared" si="16"/>
        <v>0</v>
      </c>
    </row>
    <row r="27" spans="1:12" ht="10.5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K27" si="20">SUM(E20:E26)</f>
        <v>0</v>
      </c>
      <c r="F27" s="6">
        <f t="shared" si="20"/>
        <v>0</v>
      </c>
      <c r="G27" s="6">
        <f t="shared" si="20"/>
        <v>0</v>
      </c>
      <c r="H27" s="6">
        <f t="shared" si="20"/>
        <v>0</v>
      </c>
      <c r="I27" s="6">
        <f t="shared" si="20"/>
        <v>0</v>
      </c>
      <c r="J27" s="6">
        <f t="shared" si="20"/>
        <v>0</v>
      </c>
      <c r="K27" s="6">
        <f t="shared" si="20"/>
        <v>0</v>
      </c>
      <c r="L27" s="86">
        <f>SUM(L20:L26)</f>
        <v>0</v>
      </c>
    </row>
    <row r="28" spans="1:12" ht="11" thickBot="1" x14ac:dyDescent="0.3">
      <c r="A28" s="130" t="s">
        <v>108</v>
      </c>
      <c r="B28" s="131">
        <f>+B11+B19+B27</f>
        <v>0</v>
      </c>
      <c r="C28" s="131">
        <f t="shared" ref="C28:K28" si="21">+C11+C19+C27</f>
        <v>0</v>
      </c>
      <c r="D28" s="131">
        <f t="shared" si="21"/>
        <v>0</v>
      </c>
      <c r="E28" s="131">
        <f t="shared" si="21"/>
        <v>0</v>
      </c>
      <c r="F28" s="131">
        <f t="shared" si="21"/>
        <v>0</v>
      </c>
      <c r="G28" s="131">
        <f t="shared" si="21"/>
        <v>0</v>
      </c>
      <c r="H28" s="131">
        <f t="shared" si="21"/>
        <v>0</v>
      </c>
      <c r="I28" s="131">
        <f t="shared" si="21"/>
        <v>0</v>
      </c>
      <c r="J28" s="131">
        <f t="shared" si="21"/>
        <v>0</v>
      </c>
      <c r="K28" s="131">
        <f t="shared" si="21"/>
        <v>0</v>
      </c>
      <c r="L28" s="132">
        <f>SUM(B28:K28)</f>
        <v>0</v>
      </c>
    </row>
    <row r="29" spans="1:12" ht="10.5" x14ac:dyDescent="0.25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0.5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K32" si="22">SUM(D29:D31)</f>
        <v>0</v>
      </c>
      <c r="E32" s="6">
        <f t="shared" si="22"/>
        <v>0</v>
      </c>
      <c r="F32" s="6">
        <f t="shared" si="22"/>
        <v>0</v>
      </c>
      <c r="G32" s="6">
        <f t="shared" si="22"/>
        <v>0</v>
      </c>
      <c r="H32" s="6">
        <f t="shared" si="22"/>
        <v>0</v>
      </c>
      <c r="I32" s="6">
        <f t="shared" si="22"/>
        <v>0</v>
      </c>
      <c r="J32" s="6">
        <f t="shared" si="22"/>
        <v>0</v>
      </c>
      <c r="K32" s="6">
        <f t="shared" si="22"/>
        <v>0</v>
      </c>
      <c r="L32" s="86">
        <f>SUM(L29:L31)</f>
        <v>0</v>
      </c>
    </row>
    <row r="33" spans="1:12" ht="10.5" x14ac:dyDescent="0.25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2" x14ac:dyDescent="0.2">
      <c r="A34" s="3" t="s">
        <v>10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83">
        <f>SUM(B34:K34)</f>
        <v>0</v>
      </c>
    </row>
    <row r="35" spans="1:12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2" ht="10.5" thickBot="1" x14ac:dyDescent="0.25">
      <c r="A36" s="76" t="str">
        <f>CONCATENATE("Total ",A33)</f>
        <v>Total Travel</v>
      </c>
      <c r="B36" s="6">
        <f>SUM(B33:B35)</f>
        <v>0</v>
      </c>
      <c r="C36" s="6">
        <f t="shared" ref="C36:K36" si="23">SUM(C33:C35)</f>
        <v>0</v>
      </c>
      <c r="D36" s="6">
        <f t="shared" si="23"/>
        <v>0</v>
      </c>
      <c r="E36" s="6">
        <f t="shared" si="23"/>
        <v>0</v>
      </c>
      <c r="F36" s="6">
        <f t="shared" si="23"/>
        <v>0</v>
      </c>
      <c r="G36" s="6">
        <f t="shared" si="23"/>
        <v>0</v>
      </c>
      <c r="H36" s="6">
        <f t="shared" si="23"/>
        <v>0</v>
      </c>
      <c r="I36" s="6">
        <f t="shared" si="23"/>
        <v>0</v>
      </c>
      <c r="J36" s="6">
        <f t="shared" si="23"/>
        <v>0</v>
      </c>
      <c r="K36" s="6">
        <f t="shared" si="23"/>
        <v>0</v>
      </c>
      <c r="L36" s="86">
        <f>SUM(L33:L35)</f>
        <v>0</v>
      </c>
    </row>
    <row r="37" spans="1:12" ht="10.5" x14ac:dyDescent="0.25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2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</row>
    <row r="39" spans="1:12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24">SUM(B39:K39)</f>
        <v>0</v>
      </c>
    </row>
    <row r="40" spans="1:12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24"/>
        <v>0</v>
      </c>
    </row>
    <row r="41" spans="1:12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24"/>
        <v>0</v>
      </c>
    </row>
    <row r="42" spans="1:12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24"/>
        <v>0</v>
      </c>
    </row>
    <row r="43" spans="1:12" ht="10.5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K43" si="25">SUM(D37:D42)</f>
        <v>0</v>
      </c>
      <c r="E43" s="6">
        <f t="shared" si="25"/>
        <v>0</v>
      </c>
      <c r="F43" s="6">
        <f t="shared" si="25"/>
        <v>0</v>
      </c>
      <c r="G43" s="6">
        <f t="shared" si="25"/>
        <v>0</v>
      </c>
      <c r="H43" s="6">
        <f t="shared" si="25"/>
        <v>0</v>
      </c>
      <c r="I43" s="6">
        <f t="shared" si="25"/>
        <v>0</v>
      </c>
      <c r="J43" s="6">
        <f t="shared" si="25"/>
        <v>0</v>
      </c>
      <c r="K43" s="6">
        <f t="shared" si="25"/>
        <v>0</v>
      </c>
      <c r="L43" s="86">
        <f>SUM(L37:L42)</f>
        <v>0</v>
      </c>
    </row>
    <row r="44" spans="1:12" ht="10.5" x14ac:dyDescent="0.25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2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2" x14ac:dyDescent="0.2">
      <c r="A46" s="3" t="s">
        <v>183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26">SUM(B46:K46)</f>
        <v>0</v>
      </c>
    </row>
    <row r="47" spans="1:12" x14ac:dyDescent="0.2">
      <c r="A47" s="3" t="s">
        <v>15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26"/>
        <v>0</v>
      </c>
    </row>
    <row r="48" spans="1:12" x14ac:dyDescent="0.2">
      <c r="A48" s="3" t="s">
        <v>184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26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26"/>
        <v>0</v>
      </c>
    </row>
    <row r="50" spans="1:20" x14ac:dyDescent="0.2">
      <c r="A50" s="3" t="s">
        <v>148</v>
      </c>
      <c r="B50" s="78">
        <f>O70</f>
        <v>0</v>
      </c>
      <c r="C50" s="78">
        <f t="shared" ref="C50:F50" si="27">P70</f>
        <v>0</v>
      </c>
      <c r="D50" s="78">
        <f t="shared" si="27"/>
        <v>0</v>
      </c>
      <c r="E50" s="78">
        <f t="shared" si="27"/>
        <v>0</v>
      </c>
      <c r="F50" s="78">
        <f t="shared" si="27"/>
        <v>0</v>
      </c>
      <c r="G50" s="78">
        <f t="shared" ref="G50:G51" si="28">T70</f>
        <v>0</v>
      </c>
      <c r="H50" s="78">
        <f t="shared" ref="H50:H51" si="29">U70</f>
        <v>0</v>
      </c>
      <c r="I50" s="78">
        <f t="shared" ref="I50:I51" si="30">V70</f>
        <v>0</v>
      </c>
      <c r="J50" s="78">
        <f t="shared" ref="J50:J51" si="31">W70</f>
        <v>0</v>
      </c>
      <c r="K50" s="78">
        <f t="shared" ref="K50:K51" si="32">X70</f>
        <v>0</v>
      </c>
      <c r="L50" s="83">
        <f t="shared" si="26"/>
        <v>0</v>
      </c>
    </row>
    <row r="51" spans="1:20" x14ac:dyDescent="0.2">
      <c r="A51" s="3" t="s">
        <v>147</v>
      </c>
      <c r="B51" s="78">
        <f>O71</f>
        <v>0</v>
      </c>
      <c r="C51" s="78">
        <f t="shared" ref="C51:F51" si="33">P71</f>
        <v>0</v>
      </c>
      <c r="D51" s="78">
        <f t="shared" si="33"/>
        <v>0</v>
      </c>
      <c r="E51" s="78">
        <f t="shared" si="33"/>
        <v>0</v>
      </c>
      <c r="F51" s="78">
        <f t="shared" si="33"/>
        <v>0</v>
      </c>
      <c r="G51" s="78">
        <f t="shared" si="28"/>
        <v>0</v>
      </c>
      <c r="H51" s="78">
        <f t="shared" si="29"/>
        <v>0</v>
      </c>
      <c r="I51" s="78">
        <f t="shared" si="30"/>
        <v>0</v>
      </c>
      <c r="J51" s="78">
        <f t="shared" si="31"/>
        <v>0</v>
      </c>
      <c r="K51" s="78">
        <f t="shared" si="32"/>
        <v>0</v>
      </c>
      <c r="L51" s="83">
        <f t="shared" si="26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26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26"/>
        <v>0</v>
      </c>
      <c r="P53" s="1"/>
      <c r="S53" s="5"/>
      <c r="T53" s="5"/>
    </row>
    <row r="54" spans="1:20" ht="10.5" thickBot="1" x14ac:dyDescent="0.25">
      <c r="A54" s="76" t="str">
        <f>CONCATENATE("Total ",A44)</f>
        <v>Total Other Direct Costs</v>
      </c>
      <c r="B54" s="86">
        <f t="shared" ref="B54:L54" si="34">SUM(B44:B53)</f>
        <v>0</v>
      </c>
      <c r="C54" s="6">
        <f t="shared" si="34"/>
        <v>0</v>
      </c>
      <c r="D54" s="6">
        <f t="shared" si="34"/>
        <v>0</v>
      </c>
      <c r="E54" s="6">
        <f t="shared" si="34"/>
        <v>0</v>
      </c>
      <c r="F54" s="6">
        <f t="shared" si="34"/>
        <v>0</v>
      </c>
      <c r="G54" s="6">
        <f t="shared" si="34"/>
        <v>0</v>
      </c>
      <c r="H54" s="6">
        <f t="shared" si="34"/>
        <v>0</v>
      </c>
      <c r="I54" s="6">
        <f t="shared" si="34"/>
        <v>0</v>
      </c>
      <c r="J54" s="6">
        <f t="shared" si="34"/>
        <v>0</v>
      </c>
      <c r="K54" s="6">
        <f t="shared" si="34"/>
        <v>0</v>
      </c>
      <c r="L54" s="86">
        <f t="shared" si="34"/>
        <v>0</v>
      </c>
      <c r="S54" s="5"/>
      <c r="T54" s="5"/>
    </row>
    <row r="55" spans="1:20" ht="11" thickBot="1" x14ac:dyDescent="0.3">
      <c r="A55" s="82" t="s">
        <v>16</v>
      </c>
      <c r="B55" s="124">
        <f t="shared" ref="B55:L55" si="35">SUM(+B11+B19+B27+B32+B36+B43+B54)</f>
        <v>0</v>
      </c>
      <c r="C55" s="124">
        <f t="shared" si="35"/>
        <v>0</v>
      </c>
      <c r="D55" s="124">
        <f t="shared" si="35"/>
        <v>0</v>
      </c>
      <c r="E55" s="124">
        <f t="shared" si="35"/>
        <v>0</v>
      </c>
      <c r="F55" s="124">
        <f t="shared" si="35"/>
        <v>0</v>
      </c>
      <c r="G55" s="124">
        <f t="shared" ref="G55:K55" si="36">SUM(+G11+G19+G27+G32+G36+G43+G54)</f>
        <v>0</v>
      </c>
      <c r="H55" s="124">
        <f t="shared" si="36"/>
        <v>0</v>
      </c>
      <c r="I55" s="124">
        <f t="shared" si="36"/>
        <v>0</v>
      </c>
      <c r="J55" s="124">
        <f t="shared" si="36"/>
        <v>0</v>
      </c>
      <c r="K55" s="124">
        <f t="shared" si="36"/>
        <v>0</v>
      </c>
      <c r="L55" s="125">
        <f t="shared" si="35"/>
        <v>0</v>
      </c>
      <c r="S55" s="5"/>
      <c r="T55" s="5"/>
    </row>
    <row r="56" spans="1:20" ht="11" thickBot="1" x14ac:dyDescent="0.3">
      <c r="A56" s="71" t="s">
        <v>17</v>
      </c>
      <c r="B56" s="94">
        <f>+B55-(B50+B51+B43+B61+B32)</f>
        <v>0</v>
      </c>
      <c r="C56" s="94">
        <f t="shared" ref="C56:K56" si="37">+C55-(C50+C51+C43+C61+C32)</f>
        <v>0</v>
      </c>
      <c r="D56" s="94">
        <f t="shared" si="37"/>
        <v>0</v>
      </c>
      <c r="E56" s="94">
        <f t="shared" si="37"/>
        <v>0</v>
      </c>
      <c r="F56" s="94">
        <f t="shared" si="37"/>
        <v>0</v>
      </c>
      <c r="G56" s="94">
        <f t="shared" si="37"/>
        <v>0</v>
      </c>
      <c r="H56" s="94">
        <f t="shared" si="37"/>
        <v>0</v>
      </c>
      <c r="I56" s="94">
        <f t="shared" si="37"/>
        <v>0</v>
      </c>
      <c r="J56" s="94">
        <f t="shared" si="37"/>
        <v>0</v>
      </c>
      <c r="K56" s="94">
        <f t="shared" si="37"/>
        <v>0</v>
      </c>
      <c r="L56" s="81">
        <f>SUM(B56:K56)</f>
        <v>0</v>
      </c>
      <c r="M56" s="108"/>
      <c r="S56" s="5"/>
      <c r="T56" s="5"/>
    </row>
    <row r="57" spans="1:20" ht="11" thickBot="1" x14ac:dyDescent="0.3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1" thickBot="1" x14ac:dyDescent="0.3">
      <c r="A58" s="100" t="s">
        <v>19</v>
      </c>
      <c r="B58" s="128">
        <f>+B55+B57</f>
        <v>0</v>
      </c>
      <c r="C58" s="128">
        <f t="shared" ref="C58:F58" si="38">+C55+C57</f>
        <v>0</v>
      </c>
      <c r="D58" s="128">
        <f t="shared" si="38"/>
        <v>0</v>
      </c>
      <c r="E58" s="128">
        <f t="shared" si="38"/>
        <v>0</v>
      </c>
      <c r="F58" s="128">
        <f t="shared" si="38"/>
        <v>0</v>
      </c>
      <c r="G58" s="128">
        <f t="shared" ref="G58:K58" si="39">+G55+G57</f>
        <v>0</v>
      </c>
      <c r="H58" s="128">
        <f t="shared" si="39"/>
        <v>0</v>
      </c>
      <c r="I58" s="128">
        <f t="shared" si="39"/>
        <v>0</v>
      </c>
      <c r="J58" s="128">
        <f t="shared" si="39"/>
        <v>0</v>
      </c>
      <c r="K58" s="128">
        <f t="shared" si="39"/>
        <v>0</v>
      </c>
      <c r="L58" s="129">
        <f>SUM(B58:K58)</f>
        <v>0</v>
      </c>
      <c r="Q58" s="4"/>
      <c r="S58" s="5"/>
      <c r="T58" s="5"/>
    </row>
    <row r="59" spans="1:20" ht="10.5" x14ac:dyDescent="0.25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1" thickBot="1" x14ac:dyDescent="0.3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0">+G49-IF(C49+D49+E49+F49&gt;25000,0,IF(C49+D49+E49+F49+G49&gt;25000,(25000-(C49+D49+E49+F49)),G49))</f>
        <v>0</v>
      </c>
      <c r="H61" s="87">
        <f t="shared" si="40"/>
        <v>0</v>
      </c>
      <c r="I61" s="87">
        <f t="shared" si="40"/>
        <v>0</v>
      </c>
      <c r="J61" s="87">
        <f t="shared" si="40"/>
        <v>0</v>
      </c>
      <c r="K61" s="87">
        <f t="shared" si="40"/>
        <v>0</v>
      </c>
      <c r="L61" s="92">
        <f>SUM(B61:K61)</f>
        <v>0</v>
      </c>
    </row>
    <row r="62" spans="1:20" ht="11" thickBot="1" x14ac:dyDescent="0.3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1" thickBot="1" x14ac:dyDescent="0.3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1" thickBot="1" x14ac:dyDescent="0.3">
      <c r="A64" s="91" t="s">
        <v>109</v>
      </c>
      <c r="B64" s="93">
        <f t="shared" ref="B64:K64" si="41">ROUND((B56*O86*$P$89)+(B56*P86*$P$90),0)</f>
        <v>0</v>
      </c>
      <c r="C64" s="95">
        <f t="shared" si="41"/>
        <v>0</v>
      </c>
      <c r="D64" s="95">
        <f t="shared" si="41"/>
        <v>0</v>
      </c>
      <c r="E64" s="95">
        <f t="shared" si="41"/>
        <v>0</v>
      </c>
      <c r="F64" s="95">
        <f t="shared" si="41"/>
        <v>0</v>
      </c>
      <c r="G64" s="95">
        <f t="shared" si="41"/>
        <v>0</v>
      </c>
      <c r="H64" s="95">
        <f t="shared" si="41"/>
        <v>0</v>
      </c>
      <c r="I64" s="95">
        <f t="shared" si="41"/>
        <v>0</v>
      </c>
      <c r="J64" s="95">
        <f t="shared" si="41"/>
        <v>0</v>
      </c>
      <c r="K64" s="95">
        <f t="shared" si="41"/>
        <v>0</v>
      </c>
      <c r="L64" s="93">
        <f>SUM(B64:K64)</f>
        <v>0</v>
      </c>
    </row>
    <row r="66" spans="1:26" ht="11" thickBot="1" x14ac:dyDescent="0.3">
      <c r="A66" s="7"/>
      <c r="N66" s="43" t="s">
        <v>71</v>
      </c>
      <c r="O66" s="9" t="str">
        <f>+'rates, dates, etc'!B79</f>
        <v>Year 1</v>
      </c>
      <c r="P66" s="9" t="str">
        <f>+'rates, dates, etc'!C79</f>
        <v>Year 2</v>
      </c>
      <c r="Q66" s="9" t="str">
        <f>+'rates, dates, etc'!D79</f>
        <v>Year 3</v>
      </c>
      <c r="R66" s="9" t="str">
        <f>+'rates, dates, etc'!E79</f>
        <v>Year 4</v>
      </c>
      <c r="S66" s="9" t="str">
        <f>+'rates, dates, etc'!F79</f>
        <v>Year 5</v>
      </c>
      <c r="T66" s="9" t="str">
        <f>+'rates, dates, etc'!G79</f>
        <v>Year 6</v>
      </c>
      <c r="U66" s="9" t="str">
        <f>+'rates, dates, etc'!H79</f>
        <v>Year 7</v>
      </c>
      <c r="V66" s="9" t="str">
        <f>+'rates, dates, etc'!I79</f>
        <v>Year 8</v>
      </c>
      <c r="W66" s="9" t="str">
        <f>+'rates, dates, etc'!J79</f>
        <v>Year 9</v>
      </c>
      <c r="X66" s="9" t="str">
        <f>+'rates, dates, etc'!K79</f>
        <v>Year 10</v>
      </c>
    </row>
    <row r="67" spans="1:26" x14ac:dyDescent="0.2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17"/>
      <c r="N67" s="14" t="s">
        <v>32</v>
      </c>
      <c r="O67" s="15">
        <f>SUM('rates, dates, etc'!S236:S238)/3</f>
        <v>0</v>
      </c>
      <c r="P67" s="15">
        <f>SUM('rates, dates, etc'!T236:T238)/3</f>
        <v>0</v>
      </c>
      <c r="Q67" s="15">
        <f>SUM('rates, dates, etc'!U236:U238)/3</f>
        <v>0</v>
      </c>
      <c r="R67" s="15">
        <f>SUM('rates, dates, etc'!V236:V238)/3</f>
        <v>0</v>
      </c>
      <c r="S67" s="15">
        <f>SUM('rates, dates, etc'!W236:W238)/3</f>
        <v>0</v>
      </c>
      <c r="T67" s="15">
        <f>SUM('rates, dates, etc'!X236:X238)/3</f>
        <v>0</v>
      </c>
      <c r="U67" s="15">
        <f>SUM('rates, dates, etc'!Y236:Y238)/3</f>
        <v>0</v>
      </c>
      <c r="V67" s="15">
        <f>SUM('rates, dates, etc'!Z236:Z238)/3</f>
        <v>0</v>
      </c>
      <c r="W67" s="15">
        <f>SUM('rates, dates, etc'!AA236:AA238)/3</f>
        <v>0</v>
      </c>
      <c r="X67" s="15">
        <f>SUM('rates, dates, etc'!AB236:AB238)/3</f>
        <v>0</v>
      </c>
    </row>
    <row r="68" spans="1:26" x14ac:dyDescent="0.2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17"/>
      <c r="N68" s="3" t="s">
        <v>145</v>
      </c>
      <c r="O68" s="4">
        <f>(SUMIF('rates, dates, etc'!$R$252:$R$260,"Stipend (Fall)",'rates, dates, etc'!S252:S260))+
(SUMIF('rates, dates, etc'!$R$252:$R$260,"Stipend (Spring)",'rates, dates, etc'!S252:S260))</f>
        <v>0</v>
      </c>
      <c r="P68" s="4">
        <f>(SUMIF('rates, dates, etc'!$R$252:$R$260,"Stipend (Fall)",'rates, dates, etc'!T252:T260))+
(SUMIF('rates, dates, etc'!$R$252:$R$260,"Stipend (Spring)",'rates, dates, etc'!T252:T260))</f>
        <v>0</v>
      </c>
      <c r="Q68" s="4">
        <f>(SUMIF('rates, dates, etc'!$R$252:$R$260,"Stipend (Fall)",'rates, dates, etc'!U252:U260))+
(SUMIF('rates, dates, etc'!$R$252:$R$260,"Stipend (Spring)",'rates, dates, etc'!U252:U260))</f>
        <v>0</v>
      </c>
      <c r="R68" s="4">
        <f>(SUMIF('rates, dates, etc'!$R$252:$R$260,"Stipend (Fall)",'rates, dates, etc'!V252:V260))+
(SUMIF('rates, dates, etc'!$R$252:$R$260,"Stipend (Spring)",'rates, dates, etc'!V252:V260))</f>
        <v>0</v>
      </c>
      <c r="S68" s="4">
        <f>(SUMIF('rates, dates, etc'!$R$252:$R$260,"Stipend (Fall)",'rates, dates, etc'!W252:W260))+
(SUMIF('rates, dates, etc'!$R$252:$R$260,"Stipend (Spring)",'rates, dates, etc'!W252:W260))</f>
        <v>0</v>
      </c>
      <c r="T68" s="4">
        <f>(SUMIF('rates, dates, etc'!$R$252:$R$260,"Stipend (Fall)",'rates, dates, etc'!X252:X260))+
(SUMIF('rates, dates, etc'!$R$252:$R$260,"Stipend (Spring)",'rates, dates, etc'!X252:X260))</f>
        <v>0</v>
      </c>
      <c r="U68" s="4">
        <f>(SUMIF('rates, dates, etc'!$R$252:$R$260,"Stipend (Fall)",'rates, dates, etc'!Y252:Y260))+
(SUMIF('rates, dates, etc'!$R$252:$R$260,"Stipend (Spring)",'rates, dates, etc'!Y252:Y260))</f>
        <v>0</v>
      </c>
      <c r="V68" s="4">
        <f>(SUMIF('rates, dates, etc'!$R$252:$R$260,"Stipend (Fall)",'rates, dates, etc'!Z252:Z260))+
(SUMIF('rates, dates, etc'!$R$252:$R$260,"Stipend (Spring)",'rates, dates, etc'!Z252:Z260))</f>
        <v>0</v>
      </c>
      <c r="W68" s="4">
        <f>(SUMIF('rates, dates, etc'!$R$252:$R$260,"Stipend (Fall)",'rates, dates, etc'!AA252:AA260))+
(SUMIF('rates, dates, etc'!$R$252:$R$260,"Stipend (Spring)",'rates, dates, etc'!AA252:AA260))</f>
        <v>0</v>
      </c>
      <c r="X68" s="4">
        <f>(SUMIF('rates, dates, etc'!$R$252:$R$260,"Stipend (Fall)",'rates, dates, etc'!AB252:AB260))+
(SUMIF('rates, dates, etc'!$R$252:$R$260,"Stipend (Spring)",'rates, dates, etc'!AB252:AB260))</f>
        <v>0</v>
      </c>
    </row>
    <row r="69" spans="1:26" x14ac:dyDescent="0.2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17"/>
      <c r="N69" s="3" t="s">
        <v>146</v>
      </c>
      <c r="O69" s="4">
        <f>(SUMIF('rates, dates, etc'!$R$252:$R$260,"Stipend (Summer)",'rates, dates, etc'!S252:S260))</f>
        <v>0</v>
      </c>
      <c r="P69" s="4">
        <f>(SUMIF('rates, dates, etc'!$R$252:$R$260,"Stipend (Summer)",'rates, dates, etc'!T252:T260))</f>
        <v>0</v>
      </c>
      <c r="Q69" s="4">
        <f>(SUMIF('rates, dates, etc'!$R$252:$R$260,"Stipend (Summer)",'rates, dates, etc'!U252:U260))</f>
        <v>0</v>
      </c>
      <c r="R69" s="4">
        <f>(SUMIF('rates, dates, etc'!$R$252:$R$260,"Stipend (Summer)",'rates, dates, etc'!V252:V260))</f>
        <v>0</v>
      </c>
      <c r="S69" s="4">
        <f>(SUMIF('rates, dates, etc'!$R$252:$R$260,"Stipend (Summer)",'rates, dates, etc'!W252:W260))</f>
        <v>0</v>
      </c>
      <c r="T69" s="4">
        <f>(SUMIF('rates, dates, etc'!$R$252:$R$260,"Stipend (Summer)",'rates, dates, etc'!X252:X260))</f>
        <v>0</v>
      </c>
      <c r="U69" s="4">
        <f>(SUMIF('rates, dates, etc'!$R$252:$R$260,"Stipend (Summer)",'rates, dates, etc'!Y252:Y260))</f>
        <v>0</v>
      </c>
      <c r="V69" s="4">
        <f>(SUMIF('rates, dates, etc'!$R$252:$R$260,"Stipend (Summer)",'rates, dates, etc'!Z252:Z260))</f>
        <v>0</v>
      </c>
      <c r="W69" s="4">
        <f>(SUMIF('rates, dates, etc'!$R$252:$R$260,"Stipend (Summer)",'rates, dates, etc'!AA252:AA260))</f>
        <v>0</v>
      </c>
      <c r="X69" s="4">
        <f>(SUMIF('rates, dates, etc'!$R$252:$R$260,"Stipend (Summer)",'rates, dates, etc'!AB252:AB260))</f>
        <v>0</v>
      </c>
    </row>
    <row r="70" spans="1:26" x14ac:dyDescent="0.2">
      <c r="N70" s="3" t="s">
        <v>8</v>
      </c>
      <c r="O70" s="4">
        <f>(SUMIF('rates, dates, etc'!$R$252:$R$260,"Tuition (Fall)",'rates, dates, etc'!S252:S260))+
(SUMIF('rates, dates, etc'!$R$252:$R$260,"Tuition (Spring)",'rates, dates, etc'!S252:S260))+
(SUMIF('rates, dates, etc'!$R$252:$R$260,"Tuition (Summer)",'rates, dates, etc'!S252:S260))</f>
        <v>0</v>
      </c>
      <c r="P70" s="4">
        <f>(SUMIF('rates, dates, etc'!$R$252:$R$260,"Tuition (Fall)",'rates, dates, etc'!T252:T260))+
(SUMIF('rates, dates, etc'!$R$252:$R$260,"Tuition (Spring)",'rates, dates, etc'!T252:T260))+
(SUMIF('rates, dates, etc'!$R$252:$R$260,"Tuition (Summer)",'rates, dates, etc'!T252:T260))</f>
        <v>0</v>
      </c>
      <c r="Q70" s="4">
        <f>(SUMIF('rates, dates, etc'!$R$252:$R$260,"Tuition (Fall)",'rates, dates, etc'!U252:U260))+
(SUMIF('rates, dates, etc'!$R$252:$R$260,"Tuition (Spring)",'rates, dates, etc'!U252:U260))+
(SUMIF('rates, dates, etc'!$R$252:$R$260,"Tuition (Summer)",'rates, dates, etc'!U252:U260))</f>
        <v>0</v>
      </c>
      <c r="R70" s="4">
        <f>(SUMIF('rates, dates, etc'!$R$252:$R$260,"Tuition (Fall)",'rates, dates, etc'!V252:V260))+
(SUMIF('rates, dates, etc'!$R$252:$R$260,"Tuition (Spring)",'rates, dates, etc'!V252:V260))+
(SUMIF('rates, dates, etc'!$R$252:$R$260,"Tuition (Summer)",'rates, dates, etc'!V252:V260))</f>
        <v>0</v>
      </c>
      <c r="S70" s="4">
        <f>(SUMIF('rates, dates, etc'!$R$252:$R$260,"Tuition (Fall)",'rates, dates, etc'!W252:W260))+
(SUMIF('rates, dates, etc'!$R$252:$R$260,"Tuition (Spring)",'rates, dates, etc'!W252:W260))+
(SUMIF('rates, dates, etc'!$R$252:$R$260,"Tuition (Summer)",'rates, dates, etc'!W252:W260))</f>
        <v>0</v>
      </c>
      <c r="T70" s="4">
        <f>(SUMIF('rates, dates, etc'!$R$252:$R$260,"Tuition (Fall)",'rates, dates, etc'!X252:X260))+
(SUMIF('rates, dates, etc'!$R$252:$R$260,"Tuition (Spring)",'rates, dates, etc'!X252:X260))+
(SUMIF('rates, dates, etc'!$R$252:$R$260,"Tuition (Summer)",'rates, dates, etc'!X252:X260))</f>
        <v>0</v>
      </c>
      <c r="U70" s="4">
        <f>(SUMIF('rates, dates, etc'!$R$252:$R$260,"Tuition (Fall)",'rates, dates, etc'!Y252:Y260))+
(SUMIF('rates, dates, etc'!$R$252:$R$260,"Tuition (Spring)",'rates, dates, etc'!Y252:Y260))+
(SUMIF('rates, dates, etc'!$R$252:$R$260,"Tuition (Summer)",'rates, dates, etc'!Y252:Y260))</f>
        <v>0</v>
      </c>
      <c r="V70" s="4">
        <f>(SUMIF('rates, dates, etc'!$R$252:$R$260,"Tuition (Fall)",'rates, dates, etc'!Z252:Z260))+
(SUMIF('rates, dates, etc'!$R$252:$R$260,"Tuition (Spring)",'rates, dates, etc'!Z252:Z260))+
(SUMIF('rates, dates, etc'!$R$252:$R$260,"Tuition (Summer)",'rates, dates, etc'!Z252:Z260))</f>
        <v>0</v>
      </c>
      <c r="W70" s="4">
        <f>(SUMIF('rates, dates, etc'!$R$252:$R$260,"Tuition (Fall)",'rates, dates, etc'!AA252:AA260))+
(SUMIF('rates, dates, etc'!$R$252:$R$260,"Tuition (Spring)",'rates, dates, etc'!AA252:AA260))+
(SUMIF('rates, dates, etc'!$R$252:$R$260,"Tuition (Summer)",'rates, dates, etc'!AA252:AA260))</f>
        <v>0</v>
      </c>
      <c r="X70" s="4">
        <f>(SUMIF('rates, dates, etc'!$R$252:$R$260,"Tuition (Fall)",'rates, dates, etc'!AB252:AB260))+
(SUMIF('rates, dates, etc'!$R$252:$R$260,"Tuition (Spring)",'rates, dates, etc'!AB252:AB260))+
(SUMIF('rates, dates, etc'!$R$252:$R$260,"Tuition (Summer)",'rates, dates, etc'!AB252:AB260))</f>
        <v>0</v>
      </c>
    </row>
    <row r="71" spans="1:26" x14ac:dyDescent="0.2">
      <c r="N71" s="3" t="s">
        <v>9</v>
      </c>
      <c r="O71" s="4">
        <f>(SUMIF('rates, dates, etc'!$R$252:$R$260,"Health Insurance (Fall)",'rates, dates, etc'!S252:S260))+
(SUMIF('rates, dates, etc'!$R$252:$R$260,"Health Insurance (Spring)",'rates, dates, etc'!S252:S260))+
(SUMIF('rates, dates, etc'!$R$252:$R$260,"Health Insurance (Summer)",'rates, dates, etc'!S252:S260))</f>
        <v>0</v>
      </c>
      <c r="P71" s="4">
        <f>(SUMIF('rates, dates, etc'!$R$252:$R$260,"Health Insurance (Fall)",'rates, dates, etc'!T252:T260))+
(SUMIF('rates, dates, etc'!$R$252:$R$260,"Health Insurance (Spring)",'rates, dates, etc'!T252:T260))+
(SUMIF('rates, dates, etc'!$R$252:$R$260,"Health Insurance (Summer)",'rates, dates, etc'!T252:T260))</f>
        <v>0</v>
      </c>
      <c r="Q71" s="4">
        <f>(SUMIF('rates, dates, etc'!$R$252:$R$260,"Health Insurance (Fall)",'rates, dates, etc'!U252:U260))+
(SUMIF('rates, dates, etc'!$R$252:$R$260,"Health Insurance (Spring)",'rates, dates, etc'!U252:U260))+
(SUMIF('rates, dates, etc'!$R$252:$R$260,"Health Insurance (Summer)",'rates, dates, etc'!U252:U260))</f>
        <v>0</v>
      </c>
      <c r="R71" s="4">
        <f>(SUMIF('rates, dates, etc'!$R$252:$R$260,"Health Insurance (Fall)",'rates, dates, etc'!V252:V260))+
(SUMIF('rates, dates, etc'!$R$252:$R$260,"Health Insurance (Spring)",'rates, dates, etc'!V252:V260))+
(SUMIF('rates, dates, etc'!$R$252:$R$260,"Health Insurance (Summer)",'rates, dates, etc'!V252:V260))</f>
        <v>0</v>
      </c>
      <c r="S71" s="4">
        <f>(SUMIF('rates, dates, etc'!$R$252:$R$260,"Health Insurance (Fall)",'rates, dates, etc'!W252:W260))+
(SUMIF('rates, dates, etc'!$R$252:$R$260,"Health Insurance (Spring)",'rates, dates, etc'!W252:W260))+
(SUMIF('rates, dates, etc'!$R$252:$R$260,"Health Insurance (Summer)",'rates, dates, etc'!W252:W260))</f>
        <v>0</v>
      </c>
      <c r="T71" s="4">
        <f>(SUMIF('rates, dates, etc'!$R$252:$R$260,"Health Insurance (Fall)",'rates, dates, etc'!X252:X260))+
(SUMIF('rates, dates, etc'!$R$252:$R$260,"Health Insurance (Spring)",'rates, dates, etc'!X252:X260))+
(SUMIF('rates, dates, etc'!$R$252:$R$260,"Health Insurance (Summer)",'rates, dates, etc'!X252:X260))</f>
        <v>0</v>
      </c>
      <c r="U71" s="4">
        <f>(SUMIF('rates, dates, etc'!$R$252:$R$260,"Health Insurance (Fall)",'rates, dates, etc'!Y252:Y260))+
(SUMIF('rates, dates, etc'!$R$252:$R$260,"Health Insurance (Spring)",'rates, dates, etc'!Y252:Y260))+
(SUMIF('rates, dates, etc'!$R$252:$R$260,"Health Insurance (Summer)",'rates, dates, etc'!Y252:Y260))</f>
        <v>0</v>
      </c>
      <c r="V71" s="4">
        <f>(SUMIF('rates, dates, etc'!$R$252:$R$260,"Health Insurance (Fall)",'rates, dates, etc'!Z252:Z260))+
(SUMIF('rates, dates, etc'!$R$252:$R$260,"Health Insurance (Spring)",'rates, dates, etc'!Z252:Z260))+
(SUMIF('rates, dates, etc'!$R$252:$R$260,"Health Insurance (Summer)",'rates, dates, etc'!Z252:Z260))</f>
        <v>0</v>
      </c>
      <c r="W71" s="4">
        <f>(SUMIF('rates, dates, etc'!$R$252:$R$260,"Health Insurance (Fall)",'rates, dates, etc'!AA252:AA260))+
(SUMIF('rates, dates, etc'!$R$252:$R$260,"Health Insurance (Spring)",'rates, dates, etc'!AA252:AA260))+
(SUMIF('rates, dates, etc'!$R$252:$R$260,"Health Insurance (Summer)",'rates, dates, etc'!AA252:AA260))</f>
        <v>0</v>
      </c>
      <c r="X71" s="4">
        <f>(SUMIF('rates, dates, etc'!$R$252:$R$260,"Health Insurance (Fall)",'rates, dates, etc'!AB252:AB260))+
(SUMIF('rates, dates, etc'!$R$252:$R$260,"Health Insurance (Spring)",'rates, dates, etc'!AB252:AB260))+
(SUMIF('rates, dates, etc'!$R$252:$R$260,"Health Insurance (Summer)",'rates, dates, etc'!AB252:AB260))</f>
        <v>0</v>
      </c>
    </row>
    <row r="72" spans="1:26" ht="10.5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42">SUM(T68:T71)</f>
        <v>0</v>
      </c>
      <c r="U72" s="16">
        <f t="shared" si="42"/>
        <v>0</v>
      </c>
      <c r="V72" s="16">
        <f t="shared" si="42"/>
        <v>0</v>
      </c>
      <c r="W72" s="16">
        <f t="shared" si="42"/>
        <v>0</v>
      </c>
      <c r="X72" s="16">
        <f t="shared" si="42"/>
        <v>0</v>
      </c>
    </row>
    <row r="76" spans="1:26" x14ac:dyDescent="0.2">
      <c r="N76" s="44" t="s">
        <v>33</v>
      </c>
    </row>
    <row r="77" spans="1:26" ht="10.5" x14ac:dyDescent="0.25">
      <c r="N77" s="64" t="s">
        <v>103</v>
      </c>
      <c r="O77" s="65" t="str">
        <f>+'rates, dates, etc'!AE5</f>
        <v>FY2024</v>
      </c>
      <c r="P77" s="65" t="str">
        <f>+'rates, dates, etc'!AF5</f>
        <v>FY2025</v>
      </c>
      <c r="Q77" s="65" t="str">
        <f>+'rates, dates, etc'!AG5</f>
        <v>FY2026</v>
      </c>
      <c r="R77" s="65" t="str">
        <f>+'rates, dates, etc'!AH5</f>
        <v>FY2027</v>
      </c>
      <c r="S77" s="65" t="str">
        <f>+'rates, dates, etc'!AI5</f>
        <v>FY2028</v>
      </c>
      <c r="T77" s="65" t="str">
        <f>+'rates, dates, etc'!AJ5</f>
        <v>FY2029</v>
      </c>
      <c r="U77" s="65" t="str">
        <f>+'rates, dates, etc'!AK5</f>
        <v>FY2030</v>
      </c>
      <c r="V77" s="65" t="str">
        <f>+'rates, dates, etc'!AL5</f>
        <v>FY2031</v>
      </c>
      <c r="W77" s="65" t="str">
        <f>+'rates, dates, etc'!AM5</f>
        <v>FY2032</v>
      </c>
      <c r="X77" s="65" t="str">
        <f>+'rates, dates, etc'!AN5</f>
        <v>FY2033</v>
      </c>
      <c r="Y77" s="65" t="str">
        <f>+'rates, dates, etc'!AO5</f>
        <v>FY2034</v>
      </c>
      <c r="Z77" s="65" t="str">
        <f>+'rates, dates, etc'!AP5</f>
        <v>FY2035</v>
      </c>
    </row>
    <row r="78" spans="1:26" x14ac:dyDescent="0.2">
      <c r="N78" s="2" t="str">
        <f>+'rates, dates, etc'!A194</f>
        <v xml:space="preserve">   Endowed - Senior Personnel</v>
      </c>
      <c r="O78" s="9">
        <f>IF('rates, dates, etc'!B193='rates, dates, etc'!AE5,'rates, dates, etc'!B194,'rates, dates, etc'!C194)</f>
        <v>0.37</v>
      </c>
      <c r="P78" s="9">
        <f>IF('rates, dates, etc'!C193='rates, dates, etc'!AF5,'rates, dates, etc'!C194,'rates, dates, etc'!D194)</f>
        <v>0.37</v>
      </c>
      <c r="Q78" s="9">
        <f>IF('rates, dates, etc'!D193='rates, dates, etc'!AG5,'rates, dates, etc'!D194,'rates, dates, etc'!E194)</f>
        <v>0.37</v>
      </c>
      <c r="R78" s="9">
        <f>IF('rates, dates, etc'!E193='rates, dates, etc'!AH5,'rates, dates, etc'!E194,'rates, dates, etc'!F194)</f>
        <v>0.37</v>
      </c>
      <c r="S78" s="9">
        <f>IF('rates, dates, etc'!F193='rates, dates, etc'!AI5,'rates, dates, etc'!F194,'rates, dates, etc'!G194)</f>
        <v>0.37</v>
      </c>
      <c r="T78" s="9">
        <f>IF('rates, dates, etc'!G193='rates, dates, etc'!AJ5,'rates, dates, etc'!G194,'rates, dates, etc'!H194)</f>
        <v>0.37</v>
      </c>
      <c r="U78" s="9">
        <f>IF('rates, dates, etc'!H193='rates, dates, etc'!AK5,'rates, dates, etc'!H194,'rates, dates, etc'!I194)</f>
        <v>0.37</v>
      </c>
      <c r="V78" s="9">
        <f>IF('rates, dates, etc'!I193='rates, dates, etc'!AL5,'rates, dates, etc'!I194,'rates, dates, etc'!J194)</f>
        <v>0.37</v>
      </c>
      <c r="W78" s="9">
        <f>IF('rates, dates, etc'!J193='rates, dates, etc'!AM5,'rates, dates, etc'!J194,'rates, dates, etc'!K194)</f>
        <v>0.37</v>
      </c>
      <c r="X78" s="9">
        <f>IF('rates, dates, etc'!K193='rates, dates, etc'!AN5,'rates, dates, etc'!K194,'rates, dates, etc'!L194)</f>
        <v>0.37</v>
      </c>
      <c r="Y78" s="9">
        <f>IF('rates, dates, etc'!L193='rates, dates, etc'!AO5,'rates, dates, etc'!L194,'rates, dates, etc'!M194)</f>
        <v>0.37</v>
      </c>
      <c r="Z78" s="9"/>
    </row>
    <row r="79" spans="1:26" x14ac:dyDescent="0.2">
      <c r="O79" s="1"/>
      <c r="P79" s="1"/>
    </row>
    <row r="80" spans="1:26" ht="10.5" x14ac:dyDescent="0.25">
      <c r="N80" s="64" t="s">
        <v>104</v>
      </c>
      <c r="O80" s="45" t="str">
        <f>+'rates, dates, etc'!AE4</f>
        <v>FY2024</v>
      </c>
      <c r="P80" s="45" t="str">
        <f>+'rates, dates, etc'!AF4</f>
        <v>FY2025</v>
      </c>
      <c r="Q80" s="45" t="str">
        <f>+'rates, dates, etc'!AG4</f>
        <v>FY2026</v>
      </c>
      <c r="R80" s="45" t="str">
        <f>+'rates, dates, etc'!AH4</f>
        <v>FY2027</v>
      </c>
      <c r="S80" s="45" t="str">
        <f>+'rates, dates, etc'!AI4</f>
        <v>FY2028</v>
      </c>
      <c r="T80" s="45" t="str">
        <f>+'rates, dates, etc'!AJ4</f>
        <v>FY2029</v>
      </c>
      <c r="U80" s="45" t="str">
        <f>+'rates, dates, etc'!AK4</f>
        <v>FY2030</v>
      </c>
      <c r="V80" s="45" t="str">
        <f>+'rates, dates, etc'!AL4</f>
        <v>FY2031</v>
      </c>
      <c r="W80" s="45" t="str">
        <f>+'rates, dates, etc'!AM4</f>
        <v>FY2032</v>
      </c>
      <c r="X80" s="45" t="str">
        <f>+'rates, dates, etc'!AN4</f>
        <v>FY2033</v>
      </c>
      <c r="Y80" s="45" t="str">
        <f>+'rates, dates, etc'!AO4</f>
        <v>FY2034</v>
      </c>
      <c r="Z80" s="45" t="str">
        <f>+'rates, dates, etc'!AP4</f>
        <v>FY2035</v>
      </c>
    </row>
    <row r="81" spans="14:26" x14ac:dyDescent="0.2">
      <c r="N81" s="2" t="str">
        <f>+'rates, dates, etc'!A194</f>
        <v xml:space="preserve">   Endowed - Senior Personnel</v>
      </c>
      <c r="O81" s="123">
        <f>+'rates, dates, etc'!B194</f>
        <v>0.37</v>
      </c>
      <c r="P81" s="123">
        <f>+'rates, dates, etc'!C194</f>
        <v>0.37</v>
      </c>
      <c r="Q81" s="123">
        <f>+'rates, dates, etc'!D194</f>
        <v>0.37</v>
      </c>
      <c r="R81" s="123">
        <f>+'rates, dates, etc'!E194</f>
        <v>0.37</v>
      </c>
      <c r="S81" s="123">
        <f>+'rates, dates, etc'!F194</f>
        <v>0.37</v>
      </c>
      <c r="T81" s="123">
        <f>+'rates, dates, etc'!G194</f>
        <v>0.37</v>
      </c>
      <c r="U81" s="123">
        <f>+'rates, dates, etc'!H194</f>
        <v>0.37</v>
      </c>
      <c r="V81" s="123">
        <f>+'rates, dates, etc'!I194</f>
        <v>0.37</v>
      </c>
      <c r="W81" s="123">
        <f>+'rates, dates, etc'!J194</f>
        <v>0.37</v>
      </c>
      <c r="X81" s="123">
        <f>+'rates, dates, etc'!K194</f>
        <v>0.37</v>
      </c>
      <c r="Y81" s="123">
        <f>+'rates, dates, etc'!L194</f>
        <v>0.37</v>
      </c>
      <c r="Z81" s="123">
        <f>+'rates, dates, etc'!M194</f>
        <v>0.37</v>
      </c>
    </row>
    <row r="82" spans="14:26" x14ac:dyDescent="0.2">
      <c r="N82" s="2" t="str">
        <f>+'rates, dates, etc'!A195</f>
        <v xml:space="preserve">   Endowed - Post Doc</v>
      </c>
      <c r="O82" s="1">
        <f>+'rates, dates, etc'!B195</f>
        <v>0.37</v>
      </c>
      <c r="P82" s="1">
        <f>+'rates, dates, etc'!C195</f>
        <v>0.37</v>
      </c>
      <c r="Q82" s="1">
        <f>+'rates, dates, etc'!D195</f>
        <v>0.37</v>
      </c>
      <c r="R82" s="1">
        <f>+'rates, dates, etc'!E195</f>
        <v>0.37</v>
      </c>
      <c r="S82" s="1">
        <f>+'rates, dates, etc'!F195</f>
        <v>0.37</v>
      </c>
      <c r="T82" s="1">
        <f>+'rates, dates, etc'!G195</f>
        <v>0.37</v>
      </c>
      <c r="U82" s="1">
        <f>+'rates, dates, etc'!H195</f>
        <v>0.37</v>
      </c>
      <c r="V82" s="1">
        <f>+'rates, dates, etc'!I195</f>
        <v>0.37</v>
      </c>
      <c r="W82" s="1">
        <f>+'rates, dates, etc'!J195</f>
        <v>0.37</v>
      </c>
      <c r="X82" s="1">
        <f>+'rates, dates, etc'!K195</f>
        <v>0.37</v>
      </c>
      <c r="Y82" s="1">
        <f>+'rates, dates, etc'!L195</f>
        <v>0.37</v>
      </c>
      <c r="Z82" s="1">
        <f>+'rates, dates, etc'!M195</f>
        <v>0.37</v>
      </c>
    </row>
    <row r="83" spans="14:26" x14ac:dyDescent="0.2">
      <c r="N83" s="2" t="str">
        <f>+'rates, dates, etc'!A196</f>
        <v xml:space="preserve">   Endowed - Other Employee</v>
      </c>
      <c r="O83" s="1">
        <f>+'rates, dates, etc'!B196</f>
        <v>0.37</v>
      </c>
      <c r="P83" s="1">
        <f>+'rates, dates, etc'!C196</f>
        <v>0.37</v>
      </c>
      <c r="Q83" s="1">
        <f>+'rates, dates, etc'!D196</f>
        <v>0.37</v>
      </c>
      <c r="R83" s="1">
        <f>+'rates, dates, etc'!E196</f>
        <v>0.37</v>
      </c>
      <c r="S83" s="1">
        <f>+'rates, dates, etc'!F196</f>
        <v>0.37</v>
      </c>
      <c r="T83" s="1">
        <f>+'rates, dates, etc'!G196</f>
        <v>0.37</v>
      </c>
      <c r="U83" s="1">
        <f>+'rates, dates, etc'!H196</f>
        <v>0.37</v>
      </c>
      <c r="V83" s="1">
        <f>+'rates, dates, etc'!I196</f>
        <v>0.37</v>
      </c>
      <c r="W83" s="1">
        <f>+'rates, dates, etc'!J196</f>
        <v>0.37</v>
      </c>
      <c r="X83" s="1">
        <f>+'rates, dates, etc'!K196</f>
        <v>0.37</v>
      </c>
      <c r="Y83" s="1">
        <f>+'rates, dates, etc'!L196</f>
        <v>0.37</v>
      </c>
      <c r="Z83" s="1">
        <f>+'rates, dates, etc'!M196</f>
        <v>0.37</v>
      </c>
    </row>
    <row r="85" spans="14:26" ht="10.5" x14ac:dyDescent="0.25">
      <c r="N85" s="64" t="str">
        <f>+'rates, dates, etc'!A36</f>
        <v/>
      </c>
      <c r="O85" s="1" t="str">
        <f>+'rates, dates, etc'!B36</f>
        <v/>
      </c>
      <c r="P85" s="1" t="str">
        <f>+'rates, dates, etc'!C36</f>
        <v/>
      </c>
      <c r="Q85" s="1" t="str">
        <f>+'rates, dates, etc'!D36</f>
        <v/>
      </c>
      <c r="R85" s="1" t="str">
        <f>+'rates, dates, etc'!E36</f>
        <v/>
      </c>
      <c r="S85" s="1" t="str">
        <f>+'rates, dates, etc'!F36</f>
        <v/>
      </c>
      <c r="T85" s="1" t="str">
        <f>+'rates, dates, etc'!G36</f>
        <v/>
      </c>
      <c r="U85" s="1" t="str">
        <f>+'rates, dates, etc'!H36</f>
        <v/>
      </c>
      <c r="V85" s="1" t="str">
        <f>+'rates, dates, etc'!I36</f>
        <v/>
      </c>
      <c r="W85" s="1" t="str">
        <f>+'rates, dates, etc'!J36</f>
        <v/>
      </c>
      <c r="X85" s="1" t="str">
        <f>+'rates, dates, etc'!K36</f>
        <v/>
      </c>
      <c r="Y85" s="1" t="str">
        <f>+'rates, dates, etc'!L36</f>
        <v/>
      </c>
      <c r="Z85" s="1" t="str">
        <f>+'rates, dates, etc'!M36</f>
        <v/>
      </c>
    </row>
    <row r="86" spans="14:26" ht="10.5" x14ac:dyDescent="0.25">
      <c r="N86" s="64" t="str">
        <f>+'rates, dates, etc'!A197</f>
        <v>Cornell IDC Rate - Endowed College</v>
      </c>
      <c r="O86" s="1">
        <f>+'rates, dates, etc'!B197</f>
        <v>0.64</v>
      </c>
      <c r="P86" s="1">
        <f>+'rates, dates, etc'!C197</f>
        <v>0.64</v>
      </c>
      <c r="Q86" s="1">
        <f>+'rates, dates, etc'!D197</f>
        <v>0.64</v>
      </c>
      <c r="R86" s="1">
        <f>+'rates, dates, etc'!E197</f>
        <v>0.64</v>
      </c>
      <c r="S86" s="1">
        <f>+'rates, dates, etc'!F197</f>
        <v>0.64</v>
      </c>
      <c r="T86" s="1">
        <f>+'rates, dates, etc'!G197</f>
        <v>0.64</v>
      </c>
      <c r="U86" s="1">
        <f>+'rates, dates, etc'!H197</f>
        <v>0.64</v>
      </c>
      <c r="V86" s="1">
        <f>+'rates, dates, etc'!I197</f>
        <v>0.64</v>
      </c>
      <c r="W86" s="1">
        <f>+'rates, dates, etc'!J197</f>
        <v>0.64</v>
      </c>
      <c r="X86" s="1">
        <f>+'rates, dates, etc'!K197</f>
        <v>0.64</v>
      </c>
      <c r="Y86" s="1">
        <f>+'rates, dates, etc'!L197</f>
        <v>0.64</v>
      </c>
      <c r="Z86" s="1">
        <f>+'rates, dates, etc'!M197</f>
        <v>0.64</v>
      </c>
    </row>
    <row r="87" spans="14:26" x14ac:dyDescent="0.2">
      <c r="S87" s="5"/>
      <c r="T87" s="5"/>
    </row>
    <row r="88" spans="14:26" ht="10.5" x14ac:dyDescent="0.25">
      <c r="N88" s="47" t="str">
        <f>+'rates, dates, etc'!O34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etc'!P35</f>
        <v>12</v>
      </c>
      <c r="P89" s="44">
        <f>+'rates, dates, etc'!Q35</f>
        <v>1</v>
      </c>
      <c r="S89" s="5"/>
      <c r="T89" s="5"/>
    </row>
    <row r="90" spans="14:26" x14ac:dyDescent="0.2">
      <c r="N90" s="48" t="s">
        <v>47</v>
      </c>
      <c r="O90" s="44">
        <f>+'rates, dates, etc'!P36</f>
        <v>0</v>
      </c>
      <c r="P90" s="44">
        <f>+'rates, dates, etc'!Q36</f>
        <v>0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  <row r="93" spans="14:26" x14ac:dyDescent="0.2">
      <c r="N93" s="1"/>
      <c r="O93" s="1"/>
      <c r="P93" s="1"/>
    </row>
    <row r="94" spans="14:26" x14ac:dyDescent="0.2">
      <c r="N94" s="1"/>
      <c r="O94" s="1"/>
      <c r="P94" s="1"/>
    </row>
    <row r="95" spans="14:26" x14ac:dyDescent="0.2">
      <c r="P95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BC18B8F-4329-44E5-A746-B2F20C59724A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2" id="{D01B09B6-1765-418D-800D-FBD29CAD2DAA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14D59ECA-DF59-4E54-988A-31474EB6494E}">
            <xm:f>'rates, dates, etc'!$B$8="Yes"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1" stopIfTrue="1" id="{B99C9931-04BC-40C0-9D4F-361CC85E1418}">
            <xm:f>'rates, dates, etc'!$B$8="Yes"</xm:f>
            <x14:dxf/>
          </x14:cfRule>
          <xm:sqref>A63:L63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Z91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etc'!A17)</f>
        <v>Cornell University - Co-PI Budget (3)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3" ht="11" thickBot="1" x14ac:dyDescent="0.3">
      <c r="A5" s="68" t="str">
        <f>CONCATENATE("Co-PI: ",'rates, dates, etc'!B17)</f>
        <v>Co-PI: Co-PI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G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si="5"/>
        <v>47299</v>
      </c>
      <c r="H6" s="245">
        <f t="shared" ref="H6:K6" si="6">DATE(YEAR(H5), MONTH(H5) + 12, DAY(H5))-1</f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etc'!A285</f>
        <v>Co-PI</v>
      </c>
      <c r="B8" s="17">
        <f>HLOOKUP(B$4,'rates, dates, etc'!B284:I290,7,FALSE)</f>
        <v>0</v>
      </c>
      <c r="C8" s="17">
        <f>HLOOKUP(C$4,'rates, dates, etc'!C284:O290,7,FALSE)</f>
        <v>0</v>
      </c>
      <c r="D8" s="17">
        <f>HLOOKUP(D$4,'rates, dates, etc'!D284:P290,7,FALSE)</f>
        <v>0</v>
      </c>
      <c r="E8" s="17">
        <f>HLOOKUP(E$4,'rates, dates, etc'!E284:Q290,7,FALSE)</f>
        <v>0</v>
      </c>
      <c r="F8" s="17">
        <f>HLOOKUP(F$4,'rates, dates, etc'!F284:R290,7,FALSE)</f>
        <v>0</v>
      </c>
      <c r="G8" s="17">
        <f>HLOOKUP(G$4,'rates, dates, etc'!G284:S290,7,FALSE)</f>
        <v>0</v>
      </c>
      <c r="H8" s="17">
        <f>HLOOKUP(H$4,'rates, dates, etc'!H284:T290,7,FALSE)</f>
        <v>0</v>
      </c>
      <c r="I8" s="17">
        <f>HLOOKUP(I$4,'rates, dates, etc'!I284:U290,7,FALSE)</f>
        <v>0</v>
      </c>
      <c r="J8" s="17">
        <f>HLOOKUP(J$4,'rates, dates, etc'!J284:V290,7,FALSE)</f>
        <v>0</v>
      </c>
      <c r="K8" s="17">
        <f>HLOOKUP(K$4,'rates, dates, etc'!K284:W290,7,FALSE)</f>
        <v>0</v>
      </c>
      <c r="L8" s="83">
        <f>SUM(B8:K8)</f>
        <v>0</v>
      </c>
    </row>
    <row r="9" spans="1:13" x14ac:dyDescent="0.2">
      <c r="A9" s="3" t="str">
        <f>+'rates, dates, etc'!A293</f>
        <v>Co-PI</v>
      </c>
      <c r="B9" s="17">
        <f>HLOOKUP(B$4,'rates, dates, etc'!B292:I298,7,FALSE)</f>
        <v>0</v>
      </c>
      <c r="C9" s="17">
        <f>HLOOKUP(C$4,'rates, dates, etc'!C292:O298,7,FALSE)</f>
        <v>0</v>
      </c>
      <c r="D9" s="17">
        <f>HLOOKUP(D$4,'rates, dates, etc'!D292:P298,7,FALSE)</f>
        <v>0</v>
      </c>
      <c r="E9" s="17">
        <f>HLOOKUP(E$4,'rates, dates, etc'!E292:Q298,7,FALSE)</f>
        <v>0</v>
      </c>
      <c r="F9" s="17">
        <f>HLOOKUP(F$4,'rates, dates, etc'!F292:R298,7,FALSE)</f>
        <v>0</v>
      </c>
      <c r="G9" s="17">
        <f>HLOOKUP(G$4,'rates, dates, etc'!G292:S298,7,FALSE)</f>
        <v>0</v>
      </c>
      <c r="H9" s="17">
        <f>HLOOKUP(H$4,'rates, dates, etc'!H292:T298,7,FALSE)</f>
        <v>0</v>
      </c>
      <c r="I9" s="17">
        <f>HLOOKUP(I$4,'rates, dates, etc'!I292:U298,7,FALSE)</f>
        <v>0</v>
      </c>
      <c r="J9" s="17">
        <f>HLOOKUP(J$4,'rates, dates, etc'!J292:V298,7,FALSE)</f>
        <v>0</v>
      </c>
      <c r="K9" s="17">
        <f>HLOOKUP(K$4,'rates, dates, etc'!K292:W298,7,FALSE)</f>
        <v>0</v>
      </c>
      <c r="L9" s="83">
        <f t="shared" ref="L9:L10" si="7">SUM(B9:K9)</f>
        <v>0</v>
      </c>
    </row>
    <row r="10" spans="1:13" x14ac:dyDescent="0.2">
      <c r="A10" s="3" t="str">
        <f>+'rates, dates, etc'!A301</f>
        <v>Co-PI</v>
      </c>
      <c r="B10" s="17">
        <f>HLOOKUP(B$4,'rates, dates, etc'!B300:I306,7,FALSE)</f>
        <v>0</v>
      </c>
      <c r="C10" s="17">
        <f>HLOOKUP(C$4,'rates, dates, etc'!C300:O306,7,FALSE)</f>
        <v>0</v>
      </c>
      <c r="D10" s="17">
        <f>HLOOKUP(D$4,'rates, dates, etc'!D300:P306,7,FALSE)</f>
        <v>0</v>
      </c>
      <c r="E10" s="17">
        <f>HLOOKUP(E$4,'rates, dates, etc'!E300:Q306,7,FALSE)</f>
        <v>0</v>
      </c>
      <c r="F10" s="17">
        <f>HLOOKUP(F$4,'rates, dates, etc'!F300:R306,7,FALSE)</f>
        <v>0</v>
      </c>
      <c r="G10" s="17">
        <f>HLOOKUP(G$4,'rates, dates, etc'!G300:S306,7,FALSE)</f>
        <v>0</v>
      </c>
      <c r="H10" s="17">
        <f>HLOOKUP(H$4,'rates, dates, etc'!H300:T306,7,FALSE)</f>
        <v>0</v>
      </c>
      <c r="I10" s="17">
        <f>HLOOKUP(I$4,'rates, dates, etc'!I300:U306,7,FALSE)</f>
        <v>0</v>
      </c>
      <c r="J10" s="17">
        <f>HLOOKUP(J$4,'rates, dates, etc'!J300:V306,7,FALSE)</f>
        <v>0</v>
      </c>
      <c r="K10" s="17">
        <f>HLOOKUP(K$4,'rates, dates, etc'!K300:W306,7,FALSE)</f>
        <v>0</v>
      </c>
      <c r="L10" s="83">
        <f t="shared" si="7"/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etc'!A309</f>
        <v>Post Doctoral Scholar(s)</v>
      </c>
      <c r="B13" s="5">
        <f>HLOOKUP(B$4,'rates, dates, etc'!B308:I313,6,FALSE)</f>
        <v>0</v>
      </c>
      <c r="C13" s="5">
        <f>HLOOKUP(C$4,'rates, dates, etc'!C308:O313,6,FALSE)</f>
        <v>0</v>
      </c>
      <c r="D13" s="5">
        <f>HLOOKUP(D$4,'rates, dates, etc'!D308:P313,6,FALSE)</f>
        <v>0</v>
      </c>
      <c r="E13" s="5">
        <f>HLOOKUP(E$4,'rates, dates, etc'!E308:Q313,6,FALSE)</f>
        <v>0</v>
      </c>
      <c r="F13" s="5">
        <f>HLOOKUP(F$4,'rates, dates, etc'!F308:R313,6,FALSE)</f>
        <v>0</v>
      </c>
      <c r="G13" s="5">
        <f>HLOOKUP(G$4,'rates, dates, etc'!G308:S313,6,FALSE)</f>
        <v>0</v>
      </c>
      <c r="H13" s="5">
        <f>HLOOKUP(H$4,'rates, dates, etc'!H308:T313,6,FALSE)</f>
        <v>0</v>
      </c>
      <c r="I13" s="5">
        <f>HLOOKUP(I$4,'rates, dates, etc'!I308:U313,6,FALSE)</f>
        <v>0</v>
      </c>
      <c r="J13" s="5">
        <f>HLOOKUP(J$4,'rates, dates, etc'!J308:V313,6,FALSE)</f>
        <v>0</v>
      </c>
      <c r="K13" s="5">
        <f>HLOOKUP(K$4,'rates, dates, etc'!K308:W313,6,FALSE)</f>
        <v>0</v>
      </c>
      <c r="L13" s="83">
        <f>SUM(B13:K13)</f>
        <v>0</v>
      </c>
    </row>
    <row r="14" spans="1:13" x14ac:dyDescent="0.2">
      <c r="A14" s="3" t="str">
        <f>+'rates, dates, etc'!A316</f>
        <v>Other Professional(s) (Technicians, etc)</v>
      </c>
      <c r="B14" s="5">
        <f>HLOOKUP(B$4,'rates, dates, etc'!B315:I320,6,FALSE)</f>
        <v>0</v>
      </c>
      <c r="C14" s="5">
        <f>HLOOKUP(C$4,'rates, dates, etc'!C315:O320,6,FALSE)</f>
        <v>0</v>
      </c>
      <c r="D14" s="5">
        <f>HLOOKUP(D$4,'rates, dates, etc'!D315:P320,6,FALSE)</f>
        <v>0</v>
      </c>
      <c r="E14" s="5">
        <f>HLOOKUP(E$4,'rates, dates, etc'!E315:Q320,6,FALSE)</f>
        <v>0</v>
      </c>
      <c r="F14" s="5">
        <f>HLOOKUP(F$4,'rates, dates, etc'!F315:R320,6,FALSE)</f>
        <v>0</v>
      </c>
      <c r="G14" s="5">
        <f>HLOOKUP(G$4,'rates, dates, etc'!G315:S320,6,FALSE)</f>
        <v>0</v>
      </c>
      <c r="H14" s="5">
        <f>HLOOKUP(H$4,'rates, dates, etc'!H315:T320,6,FALSE)</f>
        <v>0</v>
      </c>
      <c r="I14" s="5">
        <f>HLOOKUP(I$4,'rates, dates, etc'!I315:U320,6,FALSE)</f>
        <v>0</v>
      </c>
      <c r="J14" s="5">
        <f>HLOOKUP(J$4,'rates, dates, etc'!J315:V320,6,FALSE)</f>
        <v>0</v>
      </c>
      <c r="K14" s="5">
        <f>HLOOKUP(K$4,'rates, dates, etc'!K315:W320,6,FALSE)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etc'!A322</f>
        <v>Graduate Student(s)</v>
      </c>
      <c r="B15" s="5">
        <f>O68+O69</f>
        <v>0</v>
      </c>
      <c r="C15" s="5">
        <f t="shared" ref="C15:F15" si="11">P68+P69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ref="G15" si="12">T68+T69</f>
        <v>0</v>
      </c>
      <c r="H15" s="5">
        <f t="shared" ref="H15" si="13">U68+U69</f>
        <v>0</v>
      </c>
      <c r="I15" s="5">
        <f t="shared" ref="I15" si="14">V68+V69</f>
        <v>0</v>
      </c>
      <c r="J15" s="5">
        <f t="shared" ref="J15" si="15">W68+W69</f>
        <v>0</v>
      </c>
      <c r="K15" s="5">
        <f t="shared" ref="K15" si="16">X68+X69</f>
        <v>0</v>
      </c>
      <c r="L15" s="83">
        <f t="shared" si="10"/>
        <v>0</v>
      </c>
    </row>
    <row r="16" spans="1:13" x14ac:dyDescent="0.2">
      <c r="A16" s="3" t="str">
        <f>+'rates, dates, etc'!A327</f>
        <v>Undergraduate Student(s)</v>
      </c>
      <c r="B16" s="5">
        <f>+'rates, dates, etc'!B335</f>
        <v>0</v>
      </c>
      <c r="C16" s="5">
        <f>+'rates, dates, etc'!C335</f>
        <v>0</v>
      </c>
      <c r="D16" s="5">
        <f>+'rates, dates, etc'!D335</f>
        <v>0</v>
      </c>
      <c r="E16" s="5">
        <f>+'rates, dates, etc'!E335</f>
        <v>0</v>
      </c>
      <c r="F16" s="5">
        <f>+'rates, dates, etc'!F335</f>
        <v>0</v>
      </c>
      <c r="G16" s="5">
        <f>+'rates, dates, etc'!G335</f>
        <v>0</v>
      </c>
      <c r="H16" s="5">
        <f>+'rates, dates, etc'!H335</f>
        <v>0</v>
      </c>
      <c r="I16" s="5">
        <f>+'rates, dates, etc'!I335</f>
        <v>0</v>
      </c>
      <c r="J16" s="5">
        <f>+'rates, dates, etc'!J335</f>
        <v>0</v>
      </c>
      <c r="K16" s="5">
        <f>+'rates, dates, etc'!K335</f>
        <v>0</v>
      </c>
      <c r="L16" s="83">
        <f t="shared" si="10"/>
        <v>0</v>
      </c>
    </row>
    <row r="17" spans="1:12" x14ac:dyDescent="0.2">
      <c r="A17" s="3" t="str">
        <f>+'rates, dates, etc'!A338</f>
        <v>Other</v>
      </c>
      <c r="B17" s="5">
        <f>HLOOKUP(B$4,'rates, dates, etc'!B337:I342,6,FALSE)</f>
        <v>0</v>
      </c>
      <c r="C17" s="5">
        <f>HLOOKUP(C$4,'rates, dates, etc'!C337:O342,6,FALSE)</f>
        <v>0</v>
      </c>
      <c r="D17" s="5">
        <f>HLOOKUP(D$4,'rates, dates, etc'!D337:P342,6,FALSE)</f>
        <v>0</v>
      </c>
      <c r="E17" s="5">
        <f>HLOOKUP(E$4,'rates, dates, etc'!E337:Q342,6,FALSE)</f>
        <v>0</v>
      </c>
      <c r="F17" s="5">
        <f>HLOOKUP(F$4,'rates, dates, etc'!F337:R342,6,FALSE)</f>
        <v>0</v>
      </c>
      <c r="G17" s="5">
        <f>HLOOKUP(G$4,'rates, dates, etc'!G337:S342,6,FALSE)</f>
        <v>0</v>
      </c>
      <c r="H17" s="5">
        <f>HLOOKUP(H$4,'rates, dates, etc'!H337:T342,6,FALSE)</f>
        <v>0</v>
      </c>
      <c r="I17" s="5">
        <f>HLOOKUP(I$4,'rates, dates, etc'!I337:U342,6,FALSE)</f>
        <v>0</v>
      </c>
      <c r="J17" s="5">
        <f>HLOOKUP(J$4,'rates, dates, etc'!J337:V342,6,FALSE)</f>
        <v>0</v>
      </c>
      <c r="K17" s="5">
        <f>HLOOKUP(K$4,'rates, dates, etc'!K337:W342,6,FALSE)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0.5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F19" si="17">SUM(D12:D18)</f>
        <v>0</v>
      </c>
      <c r="E19" s="6">
        <f>SUM(E12:E18)</f>
        <v>0</v>
      </c>
      <c r="F19" s="6">
        <f t="shared" si="17"/>
        <v>0</v>
      </c>
      <c r="G19" s="6">
        <f t="shared" ref="G19:K19" si="18">SUM(G12:G18)</f>
        <v>0</v>
      </c>
      <c r="H19" s="6">
        <f t="shared" si="18"/>
        <v>0</v>
      </c>
      <c r="I19" s="6">
        <f t="shared" si="18"/>
        <v>0</v>
      </c>
      <c r="J19" s="6">
        <f t="shared" si="18"/>
        <v>0</v>
      </c>
      <c r="K19" s="6">
        <f t="shared" si="18"/>
        <v>0</v>
      </c>
      <c r="L19" s="86">
        <f>SUM(L12:L18)</f>
        <v>0</v>
      </c>
    </row>
    <row r="20" spans="1:12" ht="10.5" x14ac:dyDescent="0.25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etc'!$O286=9,ROUND((+B8*O$78),0),ROUND((+B8*O$81*$P$89)+(B8*P$81*$P$90),0))</f>
        <v>0</v>
      </c>
      <c r="C21" s="17">
        <f>IF('rates, dates, etc'!$O286=9,ROUND((+C8*P$78),0),ROUND((+C8*P$81*$P$89)+(C8*Q$81*$P$90),0))</f>
        <v>0</v>
      </c>
      <c r="D21" s="17">
        <f>IF('rates, dates, etc'!$O286=9,ROUND((+D8*Q$78),0),ROUND((+D8*Q$81*$P$89)+(D8*R$81*$P$90),0))</f>
        <v>0</v>
      </c>
      <c r="E21" s="17">
        <f>IF('rates, dates, etc'!$O286=9,ROUND((+E8*R$78),0),ROUND((+E8*R$81*$P$89)+(E8*S$81*$P$90),0))</f>
        <v>0</v>
      </c>
      <c r="F21" s="17">
        <f>IF('rates, dates, etc'!$O286=9,ROUND((+F8*S$78),0),ROUND((+F8*S$81*$P$89)+(F8*T$81*$P$90),0))</f>
        <v>0</v>
      </c>
      <c r="G21" s="17">
        <f>IF('rates, dates, etc'!$O286=9,ROUND((+G8*T$78),0),ROUND((+G8*T$81*$P$89)+(G8*U$81*$P$90),0))</f>
        <v>0</v>
      </c>
      <c r="H21" s="17">
        <f>IF('rates, dates, etc'!$O286=9,ROUND((+H8*U$78),0),ROUND((+H8*U$81*$P$89)+(H8*V$81*$P$90),0))</f>
        <v>0</v>
      </c>
      <c r="I21" s="17">
        <f>IF('rates, dates, etc'!$O286=9,ROUND((+I8*V$78),0),ROUND((+I8*V$81*$P$89)+(I8*W$81*$P$90),0))</f>
        <v>0</v>
      </c>
      <c r="J21" s="17">
        <f>IF('rates, dates, etc'!$O286=9,ROUND((+J8*W$78),0),ROUND((+J8*W$81*$P$89)+(J8*X$81*$P$90),0))</f>
        <v>0</v>
      </c>
      <c r="K21" s="17">
        <f>IF('rates, dates, etc'!$O286=9,ROUND((+K8*X$78),0),ROUND((+K8*X$81*$P$89)+(K8*Y$81*$P$90),0))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etc'!$O294=9,ROUND((+B9*O$78),0),ROUND((+B9*O$81*$P$89)+(B9*P$81*$P$90),0))</f>
        <v>0</v>
      </c>
      <c r="C22" s="17">
        <f>IF('rates, dates, etc'!$O294=9,ROUND((+C9*P$78),0),ROUND((+C9*P$81*$P$89)+(C9*Q$81*$P$90),0))</f>
        <v>0</v>
      </c>
      <c r="D22" s="17">
        <f>IF('rates, dates, etc'!$O294=9,ROUND((+D9*Q$78),0),ROUND((+D9*Q$81*$P$89)+(D9*R$81*$P$90),0))</f>
        <v>0</v>
      </c>
      <c r="E22" s="17">
        <f>IF('rates, dates, etc'!$O294=9,ROUND((+E9*R$78),0),ROUND((+E9*R$81*$P$89)+(E9*S$81*$P$90),0))</f>
        <v>0</v>
      </c>
      <c r="F22" s="17">
        <f>IF('rates, dates, etc'!$O294=9,ROUND((+F9*S$78),0),ROUND((+F9*S$81*$P$89)+(F9*T$81*$P$90),0))</f>
        <v>0</v>
      </c>
      <c r="G22" s="17">
        <f>IF('rates, dates, etc'!$O294=9,ROUND((+G9*T$78),0),ROUND((+G9*T$81*$P$89)+(G9*U$81*$P$90),0))</f>
        <v>0</v>
      </c>
      <c r="H22" s="17">
        <f>IF('rates, dates, etc'!$O294=9,ROUND((+H9*U$78),0),ROUND((+H9*U$81*$P$89)+(H9*V$81*$P$90),0))</f>
        <v>0</v>
      </c>
      <c r="I22" s="17">
        <f>IF('rates, dates, etc'!$O294=9,ROUND((+I9*V$78),0),ROUND((+I9*V$81*$P$89)+(I9*W$81*$P$90),0))</f>
        <v>0</v>
      </c>
      <c r="J22" s="17">
        <f>IF('rates, dates, etc'!$O294=9,ROUND((+J9*W$78),0),ROUND((+J9*W$81*$P$89)+(J9*X$81*$P$90),0))</f>
        <v>0</v>
      </c>
      <c r="K22" s="17">
        <f>IF('rates, dates, etc'!$O294=9,ROUND((+K9*X$78),0),ROUND((+K9*X$81*$P$89)+(K9*Y$81*$P$90),0))</f>
        <v>0</v>
      </c>
      <c r="L22" s="83">
        <f t="shared" ref="L22:L26" si="19">SUM(B22:K22)</f>
        <v>0</v>
      </c>
    </row>
    <row r="23" spans="1:12" x14ac:dyDescent="0.2">
      <c r="A23" s="3" t="str">
        <f>+A10</f>
        <v>Co-PI</v>
      </c>
      <c r="B23" s="17">
        <f>IF('rates, dates, etc'!$O302=9,ROUND((+B10*O$78),0),ROUND((+B10*O$81*$P$89)+(B10*P$81*$P$90),0))</f>
        <v>0</v>
      </c>
      <c r="C23" s="17">
        <f>IF('rates, dates, etc'!$O302=9,ROUND((+C10*P$78),0),ROUND((+C10*P$81*$P$89)+(C10*Q$81*$P$90),0))</f>
        <v>0</v>
      </c>
      <c r="D23" s="17">
        <f>IF('rates, dates, etc'!$O302=9,ROUND((+D10*Q$78),0),ROUND((+D10*Q$81*$P$89)+(D10*R$81*$P$90),0))</f>
        <v>0</v>
      </c>
      <c r="E23" s="17">
        <f>IF('rates, dates, etc'!$O302=9,ROUND((+E10*R$78),0),ROUND((+E10*R$81*$P$89)+(E10*S$81*$P$90),0))</f>
        <v>0</v>
      </c>
      <c r="F23" s="17">
        <f>IF('rates, dates, etc'!$O302=9,ROUND((+F10*S$78),0),ROUND((+F10*S$81*$P$89)+(F10*T$81*$P$90),0))</f>
        <v>0</v>
      </c>
      <c r="G23" s="17">
        <f>IF('rates, dates, etc'!$O302=9,ROUND((+G10*T$78),0),ROUND((+G10*T$81*$P$89)+(G10*U$81*$P$90),0))</f>
        <v>0</v>
      </c>
      <c r="H23" s="17">
        <f>IF('rates, dates, etc'!$O302=9,ROUND((+H10*U$78),0),ROUND((+H10*U$81*$P$89)+(H10*V$81*$P$90),0))</f>
        <v>0</v>
      </c>
      <c r="I23" s="17">
        <f>IF('rates, dates, etc'!$O302=9,ROUND((+I10*V$78),0),ROUND((+I10*V$81*$P$89)+(I10*W$81*$P$90),0))</f>
        <v>0</v>
      </c>
      <c r="J23" s="17">
        <f>IF('rates, dates, etc'!$O302=9,ROUND((+J10*W$78),0),ROUND((+J10*W$81*$P$89)+(J10*X$81*$P$90),0))</f>
        <v>0</v>
      </c>
      <c r="K23" s="17">
        <f>IF('rates, dates, etc'!$O302=9,ROUND((+K10*X$78),0),ROUND((+K10*X$81*$P$89)+(K10*Y$81*$P$90),0))</f>
        <v>0</v>
      </c>
      <c r="L23" s="83">
        <f t="shared" si="19"/>
        <v>0</v>
      </c>
    </row>
    <row r="24" spans="1:12" x14ac:dyDescent="0.2">
      <c r="A24" s="3" t="str">
        <f>+A13</f>
        <v>Post Doctoral Scholar(s)</v>
      </c>
      <c r="B24" s="17">
        <f t="shared" ref="B24:F25" si="20">ROUND((+B13*O82*$P$89)+(B13*P82*$P$90),0)</f>
        <v>0</v>
      </c>
      <c r="C24" s="17">
        <f t="shared" si="20"/>
        <v>0</v>
      </c>
      <c r="D24" s="17">
        <f t="shared" si="20"/>
        <v>0</v>
      </c>
      <c r="E24" s="17">
        <f t="shared" si="20"/>
        <v>0</v>
      </c>
      <c r="F24" s="17">
        <f t="shared" si="20"/>
        <v>0</v>
      </c>
      <c r="G24" s="17">
        <f t="shared" ref="G24:K24" si="21">ROUND((+G13*T82*$P$89)+(G13*U82*$P$90),0)</f>
        <v>0</v>
      </c>
      <c r="H24" s="17">
        <f t="shared" si="21"/>
        <v>0</v>
      </c>
      <c r="I24" s="17">
        <f t="shared" si="21"/>
        <v>0</v>
      </c>
      <c r="J24" s="17">
        <f t="shared" si="21"/>
        <v>0</v>
      </c>
      <c r="K24" s="17">
        <f t="shared" si="21"/>
        <v>0</v>
      </c>
      <c r="L24" s="83">
        <f t="shared" si="19"/>
        <v>0</v>
      </c>
    </row>
    <row r="25" spans="1:12" x14ac:dyDescent="0.2">
      <c r="A25" s="3" t="str">
        <f>+A14</f>
        <v>Other Professional(s) (Technicians, etc)</v>
      </c>
      <c r="B25" s="17">
        <f t="shared" si="20"/>
        <v>0</v>
      </c>
      <c r="C25" s="17">
        <f t="shared" si="20"/>
        <v>0</v>
      </c>
      <c r="D25" s="17">
        <f t="shared" si="20"/>
        <v>0</v>
      </c>
      <c r="E25" s="17">
        <f t="shared" si="20"/>
        <v>0</v>
      </c>
      <c r="F25" s="17">
        <f t="shared" si="20"/>
        <v>0</v>
      </c>
      <c r="G25" s="17">
        <f t="shared" ref="G25:K25" si="22">ROUND((+G14*T83*$P$89)+(G14*U83*$P$90),0)</f>
        <v>0</v>
      </c>
      <c r="H25" s="17">
        <f t="shared" si="22"/>
        <v>0</v>
      </c>
      <c r="I25" s="17">
        <f t="shared" si="22"/>
        <v>0</v>
      </c>
      <c r="J25" s="17">
        <f t="shared" si="22"/>
        <v>0</v>
      </c>
      <c r="K25" s="17">
        <f t="shared" si="22"/>
        <v>0</v>
      </c>
      <c r="L25" s="83">
        <f t="shared" si="19"/>
        <v>0</v>
      </c>
    </row>
    <row r="26" spans="1:12" x14ac:dyDescent="0.2">
      <c r="A26" s="3" t="str">
        <f>+A17</f>
        <v>Other</v>
      </c>
      <c r="B26" s="17">
        <f>IF('rates, dates, etc'!$O339=9,ROUND((+B17*O$78),0),ROUND((+B17*O$83*$P$89)+(B17*P$83*$P$90),0))</f>
        <v>0</v>
      </c>
      <c r="C26" s="17">
        <f>IF('rates, dates, etc'!$O339=9,ROUND((+C17*P$78),0),ROUND((+C17*P$83*$P$89)+(C17*Q$83*$P$90),0))</f>
        <v>0</v>
      </c>
      <c r="D26" s="17">
        <f>IF('rates, dates, etc'!$O339=9,ROUND((+D17*Q$78),0),ROUND((+D17*Q$83*$P$89)+(D17*R$83*$P$90),0))</f>
        <v>0</v>
      </c>
      <c r="E26" s="17">
        <f>IF('rates, dates, etc'!$O339=9,ROUND((+E17*R$78),0),ROUND((+E17*R$83*$P$89)+(E17*S$83*$P$90),0))</f>
        <v>0</v>
      </c>
      <c r="F26" s="17">
        <f>IF('rates, dates, etc'!$O339=9,ROUND((+F17*S$78),0),ROUND((+F17*S$83*$P$89)+(F17*T$83*$P$90),0))</f>
        <v>0</v>
      </c>
      <c r="G26" s="17">
        <f>IF('rates, dates, etc'!$O339=9,ROUND((+G17*T$78),0),ROUND((+G17*T$83*$P$89)+(G17*U$83*$P$90),0))</f>
        <v>0</v>
      </c>
      <c r="H26" s="17">
        <f>IF('rates, dates, etc'!$O339=9,ROUND((+H17*U$78),0),ROUND((+H17*U$83*$P$89)+(H17*V$83*$P$90),0))</f>
        <v>0</v>
      </c>
      <c r="I26" s="17">
        <f>IF('rates, dates, etc'!$O339=9,ROUND((+I17*V$78),0),ROUND((+I17*V$83*$P$89)+(I17*W$83*$P$90),0))</f>
        <v>0</v>
      </c>
      <c r="J26" s="17">
        <f>IF('rates, dates, etc'!$O339=9,ROUND((+J17*W$78),0),ROUND((+J17*W$83*$P$89)+(J17*X$83*$P$90),0))</f>
        <v>0</v>
      </c>
      <c r="K26" s="17">
        <f>IF('rates, dates, etc'!$O339=9,ROUND((+K17*X$78),0),ROUND((+K17*X$83*$P$89)+(K17*Y$83*$P$90),0))</f>
        <v>0</v>
      </c>
      <c r="L26" s="83">
        <f t="shared" si="19"/>
        <v>0</v>
      </c>
    </row>
    <row r="27" spans="1:12" ht="10.5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F27" si="23">SUM(E20:E26)</f>
        <v>0</v>
      </c>
      <c r="F27" s="6">
        <f t="shared" si="23"/>
        <v>0</v>
      </c>
      <c r="G27" s="6">
        <f t="shared" ref="G27:K27" si="24">SUM(G20:G26)</f>
        <v>0</v>
      </c>
      <c r="H27" s="6">
        <f t="shared" si="24"/>
        <v>0</v>
      </c>
      <c r="I27" s="6">
        <f t="shared" si="24"/>
        <v>0</v>
      </c>
      <c r="J27" s="6">
        <f t="shared" si="24"/>
        <v>0</v>
      </c>
      <c r="K27" s="6">
        <f t="shared" si="24"/>
        <v>0</v>
      </c>
      <c r="L27" s="86">
        <f>SUM(L20:L26)</f>
        <v>0</v>
      </c>
    </row>
    <row r="28" spans="1:12" ht="11" thickBot="1" x14ac:dyDescent="0.3">
      <c r="A28" s="130" t="s">
        <v>108</v>
      </c>
      <c r="B28" s="131">
        <f>+B11+B19+B27</f>
        <v>0</v>
      </c>
      <c r="C28" s="131">
        <f t="shared" ref="C28:F28" si="25">+C11+C19+C27</f>
        <v>0</v>
      </c>
      <c r="D28" s="131">
        <f t="shared" si="25"/>
        <v>0</v>
      </c>
      <c r="E28" s="131">
        <f t="shared" si="25"/>
        <v>0</v>
      </c>
      <c r="F28" s="131">
        <f t="shared" si="25"/>
        <v>0</v>
      </c>
      <c r="G28" s="131">
        <f t="shared" ref="G28:K28" si="26">+G11+G19+G27</f>
        <v>0</v>
      </c>
      <c r="H28" s="131">
        <f t="shared" si="26"/>
        <v>0</v>
      </c>
      <c r="I28" s="131">
        <f t="shared" si="26"/>
        <v>0</v>
      </c>
      <c r="J28" s="131">
        <f t="shared" si="26"/>
        <v>0</v>
      </c>
      <c r="K28" s="131">
        <f t="shared" si="26"/>
        <v>0</v>
      </c>
      <c r="L28" s="132">
        <f>SUM(B28:K28)</f>
        <v>0</v>
      </c>
    </row>
    <row r="29" spans="1:12" ht="10.5" x14ac:dyDescent="0.25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0.5" thickBot="1" x14ac:dyDescent="0.25">
      <c r="A32" s="76" t="str">
        <f>CONCATENATE("Total ",A29)</f>
        <v>Total Equipment</v>
      </c>
      <c r="B32" s="6">
        <f>SUM(B29:B31)</f>
        <v>0</v>
      </c>
      <c r="C32" s="6">
        <f t="shared" ref="C32:K32" si="27">SUM(C29:C31)</f>
        <v>0</v>
      </c>
      <c r="D32" s="6">
        <f t="shared" si="27"/>
        <v>0</v>
      </c>
      <c r="E32" s="6">
        <f t="shared" si="27"/>
        <v>0</v>
      </c>
      <c r="F32" s="6">
        <f t="shared" si="27"/>
        <v>0</v>
      </c>
      <c r="G32" s="6">
        <f t="shared" si="27"/>
        <v>0</v>
      </c>
      <c r="H32" s="6">
        <f t="shared" si="27"/>
        <v>0</v>
      </c>
      <c r="I32" s="6">
        <f t="shared" si="27"/>
        <v>0</v>
      </c>
      <c r="J32" s="6">
        <f t="shared" si="27"/>
        <v>0</v>
      </c>
      <c r="K32" s="6">
        <f t="shared" si="27"/>
        <v>0</v>
      </c>
      <c r="L32" s="86">
        <f>SUM(L29:L31)</f>
        <v>0</v>
      </c>
    </row>
    <row r="33" spans="1:16" ht="10.5" x14ac:dyDescent="0.25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0.5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K36" si="28">SUM(D33:D35)</f>
        <v>0</v>
      </c>
      <c r="E36" s="6">
        <f t="shared" si="28"/>
        <v>0</v>
      </c>
      <c r="F36" s="6">
        <f t="shared" si="28"/>
        <v>0</v>
      </c>
      <c r="G36" s="6">
        <f t="shared" si="28"/>
        <v>0</v>
      </c>
      <c r="H36" s="6">
        <f t="shared" si="28"/>
        <v>0</v>
      </c>
      <c r="I36" s="6">
        <f t="shared" si="28"/>
        <v>0</v>
      </c>
      <c r="J36" s="6">
        <f t="shared" si="28"/>
        <v>0</v>
      </c>
      <c r="K36" s="6">
        <f t="shared" si="28"/>
        <v>0</v>
      </c>
      <c r="L36" s="86">
        <f>SUM(L33:L35)</f>
        <v>0</v>
      </c>
    </row>
    <row r="37" spans="1:16" ht="10.5" x14ac:dyDescent="0.25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  <c r="N37" s="1"/>
      <c r="O37" s="1"/>
      <c r="P37" s="1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  <c r="N38" s="1"/>
      <c r="O38" s="1"/>
      <c r="P38" s="1"/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29">SUM(B39:K39)</f>
        <v>0</v>
      </c>
      <c r="N39" s="1"/>
      <c r="O39" s="1"/>
      <c r="P39" s="1"/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29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29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29"/>
        <v>0</v>
      </c>
    </row>
    <row r="43" spans="1:16" ht="10.5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 t="shared" ref="C43:K43" si="30">SUM(C37:C42)</f>
        <v>0</v>
      </c>
      <c r="D43" s="6">
        <f t="shared" si="30"/>
        <v>0</v>
      </c>
      <c r="E43" s="6">
        <f t="shared" si="30"/>
        <v>0</v>
      </c>
      <c r="F43" s="6">
        <f t="shared" si="30"/>
        <v>0</v>
      </c>
      <c r="G43" s="6">
        <f t="shared" si="30"/>
        <v>0</v>
      </c>
      <c r="H43" s="6">
        <f t="shared" si="30"/>
        <v>0</v>
      </c>
      <c r="I43" s="6">
        <f t="shared" si="30"/>
        <v>0</v>
      </c>
      <c r="J43" s="6">
        <f t="shared" si="30"/>
        <v>0</v>
      </c>
      <c r="K43" s="6">
        <f t="shared" si="30"/>
        <v>0</v>
      </c>
      <c r="L43" s="86">
        <f>SUM(L37:L42)</f>
        <v>0</v>
      </c>
    </row>
    <row r="44" spans="1:16" ht="10.5" x14ac:dyDescent="0.25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183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1">SUM(B46:K46)</f>
        <v>0</v>
      </c>
    </row>
    <row r="47" spans="1:16" x14ac:dyDescent="0.2">
      <c r="A47" s="3" t="s">
        <v>15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1"/>
        <v>0</v>
      </c>
    </row>
    <row r="48" spans="1:16" x14ac:dyDescent="0.2">
      <c r="A48" s="3" t="s">
        <v>184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1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1"/>
        <v>0</v>
      </c>
    </row>
    <row r="50" spans="1:20" x14ac:dyDescent="0.2">
      <c r="A50" s="3" t="s">
        <v>148</v>
      </c>
      <c r="B50" s="78">
        <f>O70</f>
        <v>0</v>
      </c>
      <c r="C50" s="78">
        <f t="shared" ref="C50:F50" si="32">P70</f>
        <v>0</v>
      </c>
      <c r="D50" s="78">
        <f t="shared" si="32"/>
        <v>0</v>
      </c>
      <c r="E50" s="78">
        <f t="shared" si="32"/>
        <v>0</v>
      </c>
      <c r="F50" s="78">
        <f t="shared" si="32"/>
        <v>0</v>
      </c>
      <c r="G50" s="78">
        <f t="shared" ref="G50:G51" si="33">T70</f>
        <v>0</v>
      </c>
      <c r="H50" s="78">
        <f t="shared" ref="H50:H51" si="34">U70</f>
        <v>0</v>
      </c>
      <c r="I50" s="78">
        <f t="shared" ref="I50:I51" si="35">V70</f>
        <v>0</v>
      </c>
      <c r="J50" s="78">
        <f t="shared" ref="J50:J51" si="36">W70</f>
        <v>0</v>
      </c>
      <c r="K50" s="78">
        <f t="shared" ref="K50:K51" si="37">X70</f>
        <v>0</v>
      </c>
      <c r="L50" s="83">
        <f t="shared" si="31"/>
        <v>0</v>
      </c>
    </row>
    <row r="51" spans="1:20" x14ac:dyDescent="0.2">
      <c r="A51" s="3" t="s">
        <v>147</v>
      </c>
      <c r="B51" s="78">
        <f>O71</f>
        <v>0</v>
      </c>
      <c r="C51" s="78">
        <f t="shared" ref="C51:F51" si="38">P71</f>
        <v>0</v>
      </c>
      <c r="D51" s="78">
        <f t="shared" si="38"/>
        <v>0</v>
      </c>
      <c r="E51" s="78">
        <f t="shared" si="38"/>
        <v>0</v>
      </c>
      <c r="F51" s="78">
        <f t="shared" si="38"/>
        <v>0</v>
      </c>
      <c r="G51" s="78">
        <f t="shared" si="33"/>
        <v>0</v>
      </c>
      <c r="H51" s="78">
        <f t="shared" si="34"/>
        <v>0</v>
      </c>
      <c r="I51" s="78">
        <f t="shared" si="35"/>
        <v>0</v>
      </c>
      <c r="J51" s="78">
        <f t="shared" si="36"/>
        <v>0</v>
      </c>
      <c r="K51" s="78">
        <f t="shared" si="37"/>
        <v>0</v>
      </c>
      <c r="L51" s="83">
        <f t="shared" si="31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1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1"/>
        <v>0</v>
      </c>
      <c r="P53" s="1"/>
      <c r="S53" s="5"/>
      <c r="T53" s="5"/>
    </row>
    <row r="54" spans="1:20" ht="10.5" thickBot="1" x14ac:dyDescent="0.25">
      <c r="A54" s="76" t="str">
        <f>CONCATENATE("Total ",A44)</f>
        <v>Total Other Direct Costs</v>
      </c>
      <c r="B54" s="86">
        <f t="shared" ref="B54:L54" si="39">SUM(B44:B53)</f>
        <v>0</v>
      </c>
      <c r="C54" s="6">
        <f t="shared" si="39"/>
        <v>0</v>
      </c>
      <c r="D54" s="6">
        <f t="shared" si="39"/>
        <v>0</v>
      </c>
      <c r="E54" s="6">
        <f t="shared" si="39"/>
        <v>0</v>
      </c>
      <c r="F54" s="6">
        <f t="shared" si="39"/>
        <v>0</v>
      </c>
      <c r="G54" s="6">
        <f t="shared" ref="G54:K54" si="40">SUM(G44:G53)</f>
        <v>0</v>
      </c>
      <c r="H54" s="6">
        <f t="shared" si="40"/>
        <v>0</v>
      </c>
      <c r="I54" s="6">
        <f t="shared" si="40"/>
        <v>0</v>
      </c>
      <c r="J54" s="6">
        <f t="shared" si="40"/>
        <v>0</v>
      </c>
      <c r="K54" s="6">
        <f t="shared" si="40"/>
        <v>0</v>
      </c>
      <c r="L54" s="86">
        <f t="shared" si="39"/>
        <v>0</v>
      </c>
      <c r="S54" s="5"/>
      <c r="T54" s="5"/>
    </row>
    <row r="55" spans="1:20" ht="11" thickBot="1" x14ac:dyDescent="0.3">
      <c r="A55" s="82" t="s">
        <v>16</v>
      </c>
      <c r="B55" s="124">
        <f t="shared" ref="B55:L55" si="41">SUM(+B11+B19+B27+B32+B36+B43+B54)</f>
        <v>0</v>
      </c>
      <c r="C55" s="124">
        <f t="shared" si="41"/>
        <v>0</v>
      </c>
      <c r="D55" s="124">
        <f t="shared" si="41"/>
        <v>0</v>
      </c>
      <c r="E55" s="124">
        <f t="shared" si="41"/>
        <v>0</v>
      </c>
      <c r="F55" s="124">
        <f t="shared" si="41"/>
        <v>0</v>
      </c>
      <c r="G55" s="124">
        <f t="shared" ref="G55:K55" si="42">SUM(+G11+G19+G27+G32+G36+G43+G54)</f>
        <v>0</v>
      </c>
      <c r="H55" s="124">
        <f t="shared" si="42"/>
        <v>0</v>
      </c>
      <c r="I55" s="124">
        <f t="shared" si="42"/>
        <v>0</v>
      </c>
      <c r="J55" s="124">
        <f t="shared" si="42"/>
        <v>0</v>
      </c>
      <c r="K55" s="124">
        <f t="shared" si="42"/>
        <v>0</v>
      </c>
      <c r="L55" s="125">
        <f t="shared" si="41"/>
        <v>0</v>
      </c>
      <c r="S55" s="5"/>
      <c r="T55" s="5"/>
    </row>
    <row r="56" spans="1:20" ht="11" thickBot="1" x14ac:dyDescent="0.3">
      <c r="A56" s="71" t="s">
        <v>17</v>
      </c>
      <c r="B56" s="94">
        <f>+B55-(B50+B51+B43+B61+B32)</f>
        <v>0</v>
      </c>
      <c r="C56" s="94">
        <f t="shared" ref="C56:K56" si="43">+C55-(C50+C51+C43+C61+C32)</f>
        <v>0</v>
      </c>
      <c r="D56" s="94">
        <f t="shared" si="43"/>
        <v>0</v>
      </c>
      <c r="E56" s="94">
        <f t="shared" si="43"/>
        <v>0</v>
      </c>
      <c r="F56" s="94">
        <f t="shared" si="43"/>
        <v>0</v>
      </c>
      <c r="G56" s="94">
        <f t="shared" si="43"/>
        <v>0</v>
      </c>
      <c r="H56" s="94">
        <f t="shared" si="43"/>
        <v>0</v>
      </c>
      <c r="I56" s="94">
        <f t="shared" si="43"/>
        <v>0</v>
      </c>
      <c r="J56" s="94">
        <f t="shared" si="43"/>
        <v>0</v>
      </c>
      <c r="K56" s="94">
        <f t="shared" si="43"/>
        <v>0</v>
      </c>
      <c r="L56" s="81">
        <f>SUM(B56:K56)</f>
        <v>0</v>
      </c>
      <c r="M56" s="108"/>
      <c r="S56" s="5"/>
      <c r="T56" s="5"/>
    </row>
    <row r="57" spans="1:20" ht="11" thickBot="1" x14ac:dyDescent="0.3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1" thickBot="1" x14ac:dyDescent="0.3">
      <c r="A58" s="100" t="s">
        <v>19</v>
      </c>
      <c r="B58" s="128">
        <f>+B55+B57</f>
        <v>0</v>
      </c>
      <c r="C58" s="128">
        <f t="shared" ref="C58:F58" si="44">+C55+C57</f>
        <v>0</v>
      </c>
      <c r="D58" s="128">
        <f t="shared" si="44"/>
        <v>0</v>
      </c>
      <c r="E58" s="128">
        <f t="shared" si="44"/>
        <v>0</v>
      </c>
      <c r="F58" s="128">
        <f t="shared" si="44"/>
        <v>0</v>
      </c>
      <c r="G58" s="128">
        <f t="shared" ref="G58:K58" si="45">+G55+G57</f>
        <v>0</v>
      </c>
      <c r="H58" s="128">
        <f t="shared" si="45"/>
        <v>0</v>
      </c>
      <c r="I58" s="128">
        <f t="shared" si="45"/>
        <v>0</v>
      </c>
      <c r="J58" s="128">
        <f t="shared" si="45"/>
        <v>0</v>
      </c>
      <c r="K58" s="128">
        <f t="shared" si="45"/>
        <v>0</v>
      </c>
      <c r="L58" s="129">
        <f>SUM(B58:K58)</f>
        <v>0</v>
      </c>
      <c r="Q58" s="4"/>
      <c r="S58" s="5"/>
      <c r="T58" s="5"/>
    </row>
    <row r="59" spans="1:20" ht="10.5" x14ac:dyDescent="0.25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1" thickBot="1" x14ac:dyDescent="0.3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6">+G49-IF(C49+D49+E49+F49&gt;25000,0,IF(C49+D49+E49+F49+G49&gt;25000,(25000-(C49+D49+E49+F49)),G49))</f>
        <v>0</v>
      </c>
      <c r="H61" s="87">
        <f t="shared" si="46"/>
        <v>0</v>
      </c>
      <c r="I61" s="87">
        <f t="shared" si="46"/>
        <v>0</v>
      </c>
      <c r="J61" s="87">
        <f t="shared" si="46"/>
        <v>0</v>
      </c>
      <c r="K61" s="87">
        <f t="shared" si="46"/>
        <v>0</v>
      </c>
      <c r="L61" s="92">
        <f>SUM(B61:K61)</f>
        <v>0</v>
      </c>
    </row>
    <row r="62" spans="1:20" ht="11" thickBot="1" x14ac:dyDescent="0.3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1" thickBot="1" x14ac:dyDescent="0.3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1" thickBot="1" x14ac:dyDescent="0.3">
      <c r="A64" s="91" t="s">
        <v>109</v>
      </c>
      <c r="B64" s="93">
        <f t="shared" ref="B64:K64" si="47">ROUND((B56*O86*$P$89)+(B56*P86*$P$90),0)</f>
        <v>0</v>
      </c>
      <c r="C64" s="95">
        <f t="shared" si="47"/>
        <v>0</v>
      </c>
      <c r="D64" s="95">
        <f t="shared" si="47"/>
        <v>0</v>
      </c>
      <c r="E64" s="95">
        <f t="shared" si="47"/>
        <v>0</v>
      </c>
      <c r="F64" s="95">
        <f t="shared" si="47"/>
        <v>0</v>
      </c>
      <c r="G64" s="95">
        <f t="shared" si="47"/>
        <v>0</v>
      </c>
      <c r="H64" s="95">
        <f t="shared" si="47"/>
        <v>0</v>
      </c>
      <c r="I64" s="95">
        <f t="shared" si="47"/>
        <v>0</v>
      </c>
      <c r="J64" s="95">
        <f t="shared" si="47"/>
        <v>0</v>
      </c>
      <c r="K64" s="95">
        <f t="shared" si="47"/>
        <v>0</v>
      </c>
      <c r="L64" s="93">
        <f>SUM(B64:K64)</f>
        <v>0</v>
      </c>
    </row>
    <row r="66" spans="14:26" ht="11" thickBot="1" x14ac:dyDescent="0.3">
      <c r="N66" s="43" t="s">
        <v>71</v>
      </c>
      <c r="O66" s="9" t="str">
        <f>+'rates, dates, etc'!B79</f>
        <v>Year 1</v>
      </c>
      <c r="P66" s="9" t="str">
        <f>+'rates, dates, etc'!C79</f>
        <v>Year 2</v>
      </c>
      <c r="Q66" s="9" t="str">
        <f>+'rates, dates, etc'!D79</f>
        <v>Year 3</v>
      </c>
      <c r="R66" s="9" t="str">
        <f>+'rates, dates, etc'!E79</f>
        <v>Year 4</v>
      </c>
      <c r="S66" s="9" t="str">
        <f>+'rates, dates, etc'!F79</f>
        <v>Year 5</v>
      </c>
      <c r="T66" s="9" t="str">
        <f>+'rates, dates, etc'!G79</f>
        <v>Year 6</v>
      </c>
      <c r="U66" s="9" t="str">
        <f>+'rates, dates, etc'!H79</f>
        <v>Year 7</v>
      </c>
      <c r="V66" s="9" t="str">
        <f>+'rates, dates, etc'!I79</f>
        <v>Year 8</v>
      </c>
      <c r="W66" s="9" t="str">
        <f>+'rates, dates, etc'!J79</f>
        <v>Year 9</v>
      </c>
      <c r="X66" s="9" t="str">
        <f>+'rates, dates, etc'!K79</f>
        <v>Year 10</v>
      </c>
    </row>
    <row r="67" spans="14:26" x14ac:dyDescent="0.2">
      <c r="N67" s="14" t="s">
        <v>32</v>
      </c>
      <c r="O67" s="15">
        <f>SUM('rates, dates, etc'!S317:S319)/3</f>
        <v>0</v>
      </c>
      <c r="P67" s="15">
        <f>SUM('rates, dates, etc'!T317:T319)/3</f>
        <v>0</v>
      </c>
      <c r="Q67" s="15">
        <f>SUM('rates, dates, etc'!U317:U319)/3</f>
        <v>0</v>
      </c>
      <c r="R67" s="15">
        <f>SUM('rates, dates, etc'!V317:V319)/3</f>
        <v>0</v>
      </c>
      <c r="S67" s="15">
        <f>SUM('rates, dates, etc'!W317:W319)/3</f>
        <v>0</v>
      </c>
      <c r="T67" s="15">
        <f>SUM('rates, dates, etc'!X317:X319)/3</f>
        <v>0</v>
      </c>
      <c r="U67" s="15">
        <f>SUM('rates, dates, etc'!Y317:Y319)/3</f>
        <v>0</v>
      </c>
      <c r="V67" s="15">
        <f>SUM('rates, dates, etc'!Z317:Z319)/3</f>
        <v>0</v>
      </c>
      <c r="W67" s="15">
        <f>SUM('rates, dates, etc'!AA317:AA319)/3</f>
        <v>0</v>
      </c>
      <c r="X67" s="15">
        <f>SUM('rates, dates, etc'!AB317:AB319)/3</f>
        <v>0</v>
      </c>
    </row>
    <row r="68" spans="14:26" x14ac:dyDescent="0.2">
      <c r="N68" s="3" t="s">
        <v>145</v>
      </c>
      <c r="O68" s="4">
        <f>(SUMIF('rates, dates, etc'!$R$333:$R$341,"Stipend (Fall)",'rates, dates, etc'!S333:S341))+
(SUMIF('rates, dates, etc'!$R$333:$R$341,"Stipend (Spring)",'rates, dates, etc'!S333:S341))</f>
        <v>0</v>
      </c>
      <c r="P68" s="4">
        <f>(SUMIF('rates, dates, etc'!$R$333:$R$341,"Stipend (Fall)",'rates, dates, etc'!T333:T341))+
(SUMIF('rates, dates, etc'!$R$333:$R$341,"Stipend (Spring)",'rates, dates, etc'!T333:T341))</f>
        <v>0</v>
      </c>
      <c r="Q68" s="4">
        <f>(SUMIF('rates, dates, etc'!$R$333:$R$341,"Stipend (Fall)",'rates, dates, etc'!U333:U341))+
(SUMIF('rates, dates, etc'!$R$333:$R$341,"Stipend (Spring)",'rates, dates, etc'!U333:U341))</f>
        <v>0</v>
      </c>
      <c r="R68" s="4">
        <f>(SUMIF('rates, dates, etc'!$R$333:$R$341,"Stipend (Fall)",'rates, dates, etc'!V333:V341))+
(SUMIF('rates, dates, etc'!$R$333:$R$341,"Stipend (Spring)",'rates, dates, etc'!V333:V341))</f>
        <v>0</v>
      </c>
      <c r="S68" s="4">
        <f>(SUMIF('rates, dates, etc'!$R$333:$R$341,"Stipend (Fall)",'rates, dates, etc'!W333:W341))+
(SUMIF('rates, dates, etc'!$R$333:$R$341,"Stipend (Spring)",'rates, dates, etc'!W333:W341))</f>
        <v>0</v>
      </c>
      <c r="T68" s="4">
        <f>(SUMIF('rates, dates, etc'!$R$333:$R$341,"Stipend (Fall)",'rates, dates, etc'!X333:X341))+
(SUMIF('rates, dates, etc'!$R$333:$R$341,"Stipend (Spring)",'rates, dates, etc'!X333:X341))</f>
        <v>0</v>
      </c>
      <c r="U68" s="4">
        <f>(SUMIF('rates, dates, etc'!$R$333:$R$341,"Stipend (Fall)",'rates, dates, etc'!Y333:Y341))+
(SUMIF('rates, dates, etc'!$R$333:$R$341,"Stipend (Spring)",'rates, dates, etc'!Y333:Y341))</f>
        <v>0</v>
      </c>
      <c r="V68" s="4">
        <f>(SUMIF('rates, dates, etc'!$R$333:$R$341,"Stipend (Fall)",'rates, dates, etc'!Z333:Z341))+
(SUMIF('rates, dates, etc'!$R$333:$R$341,"Stipend (Spring)",'rates, dates, etc'!Z333:Z341))</f>
        <v>0</v>
      </c>
      <c r="W68" s="4">
        <f>(SUMIF('rates, dates, etc'!$R$333:$R$341,"Stipend (Fall)",'rates, dates, etc'!AA333:AA341))+
(SUMIF('rates, dates, etc'!$R$333:$R$341,"Stipend (Spring)",'rates, dates, etc'!AA333:AA341))</f>
        <v>0</v>
      </c>
      <c r="X68" s="4">
        <f>(SUMIF('rates, dates, etc'!$R$333:$R$341,"Stipend (Fall)",'rates, dates, etc'!AB333:AB341))+
(SUMIF('rates, dates, etc'!$R$333:$R$341,"Stipend (Spring)",'rates, dates, etc'!AB333:AB341))</f>
        <v>0</v>
      </c>
    </row>
    <row r="69" spans="14:26" x14ac:dyDescent="0.2">
      <c r="N69" s="3" t="s">
        <v>146</v>
      </c>
      <c r="O69" s="4">
        <f>(SUMIF('rates, dates, etc'!$R$333:$R$341,"Stipend (Summer)",'rates, dates, etc'!S333:S341))</f>
        <v>0</v>
      </c>
      <c r="P69" s="4">
        <f>(SUMIF('rates, dates, etc'!$R$333:$R$341,"Stipend (Summer)",'rates, dates, etc'!T333:T341))</f>
        <v>0</v>
      </c>
      <c r="Q69" s="4">
        <f>(SUMIF('rates, dates, etc'!$R$333:$R$341,"Stipend (Summer)",'rates, dates, etc'!U333:U341))</f>
        <v>0</v>
      </c>
      <c r="R69" s="4">
        <f>(SUMIF('rates, dates, etc'!$R$333:$R$341,"Stipend (Summer)",'rates, dates, etc'!V333:V341))</f>
        <v>0</v>
      </c>
      <c r="S69" s="4">
        <f>(SUMIF('rates, dates, etc'!$R$333:$R$341,"Stipend (Summer)",'rates, dates, etc'!W333:W341))</f>
        <v>0</v>
      </c>
      <c r="T69" s="4">
        <f>(SUMIF('rates, dates, etc'!$R$333:$R$341,"Stipend (Summer)",'rates, dates, etc'!X333:X341))</f>
        <v>0</v>
      </c>
      <c r="U69" s="4">
        <f>(SUMIF('rates, dates, etc'!$R$333:$R$341,"Stipend (Summer)",'rates, dates, etc'!Y333:Y341))</f>
        <v>0</v>
      </c>
      <c r="V69" s="4">
        <f>(SUMIF('rates, dates, etc'!$R$333:$R$341,"Stipend (Summer)",'rates, dates, etc'!Z333:Z341))</f>
        <v>0</v>
      </c>
      <c r="W69" s="4">
        <f>(SUMIF('rates, dates, etc'!$R$333:$R$341,"Stipend (Summer)",'rates, dates, etc'!AA333:AA341))</f>
        <v>0</v>
      </c>
      <c r="X69" s="4">
        <f>(SUMIF('rates, dates, etc'!$R$333:$R$341,"Stipend (Summer)",'rates, dates, etc'!AB333:AB341))</f>
        <v>0</v>
      </c>
    </row>
    <row r="70" spans="14:26" x14ac:dyDescent="0.2">
      <c r="N70" s="3" t="s">
        <v>8</v>
      </c>
      <c r="O70" s="4">
        <f>(SUMIF('rates, dates, etc'!$R$333:$R$341,"Tuition (Fall)",'rates, dates, etc'!S333:S341))+
(SUMIF('rates, dates, etc'!$R$333:$R$341,"Tuition (Spring)",'rates, dates, etc'!S333:S341))+
(SUMIF('rates, dates, etc'!$R$333:$R$341,"Tuition (Summer)",'rates, dates, etc'!S333:S341))</f>
        <v>0</v>
      </c>
      <c r="P70" s="4">
        <f>(SUMIF('rates, dates, etc'!$R$333:$R$341,"Tuition (Fall)",'rates, dates, etc'!T333:T341))+
(SUMIF('rates, dates, etc'!$R$333:$R$341,"Tuition (Spring)",'rates, dates, etc'!T333:T341))+
(SUMIF('rates, dates, etc'!$R$333:$R$341,"Tuition (Summer)",'rates, dates, etc'!T333:T341))</f>
        <v>0</v>
      </c>
      <c r="Q70" s="4">
        <f>(SUMIF('rates, dates, etc'!$R$333:$R$341,"Tuition (Fall)",'rates, dates, etc'!U333:U341))+
(SUMIF('rates, dates, etc'!$R$333:$R$341,"Tuition (Spring)",'rates, dates, etc'!U333:U341))+
(SUMIF('rates, dates, etc'!$R$333:$R$341,"Tuition (Summer)",'rates, dates, etc'!U333:U341))</f>
        <v>0</v>
      </c>
      <c r="R70" s="4">
        <f>(SUMIF('rates, dates, etc'!$R$333:$R$341,"Tuition (Fall)",'rates, dates, etc'!V333:V341))+
(SUMIF('rates, dates, etc'!$R$333:$R$341,"Tuition (Spring)",'rates, dates, etc'!V333:V341))+
(SUMIF('rates, dates, etc'!$R$333:$R$341,"Tuition (Summer)",'rates, dates, etc'!V333:V341))</f>
        <v>0</v>
      </c>
      <c r="S70" s="4">
        <f>(SUMIF('rates, dates, etc'!$R$333:$R$341,"Tuition (Fall)",'rates, dates, etc'!W333:W341))+
(SUMIF('rates, dates, etc'!$R$333:$R$341,"Tuition (Spring)",'rates, dates, etc'!W333:W341))+
(SUMIF('rates, dates, etc'!$R$333:$R$341,"Tuition (Summer)",'rates, dates, etc'!W333:W341))</f>
        <v>0</v>
      </c>
      <c r="T70" s="4">
        <f>(SUMIF('rates, dates, etc'!$R$333:$R$341,"Tuition (Fall)",'rates, dates, etc'!X333:X341))+
(SUMIF('rates, dates, etc'!$R$333:$R$341,"Tuition (Spring)",'rates, dates, etc'!X333:X341))+
(SUMIF('rates, dates, etc'!$R$333:$R$341,"Tuition (Summer)",'rates, dates, etc'!X333:X341))</f>
        <v>0</v>
      </c>
      <c r="U70" s="4">
        <f>(SUMIF('rates, dates, etc'!$R$333:$R$341,"Tuition (Fall)",'rates, dates, etc'!Y333:Y341))+
(SUMIF('rates, dates, etc'!$R$333:$R$341,"Tuition (Spring)",'rates, dates, etc'!Y333:Y341))+
(SUMIF('rates, dates, etc'!$R$333:$R$341,"Tuition (Summer)",'rates, dates, etc'!Y333:Y341))</f>
        <v>0</v>
      </c>
      <c r="V70" s="4">
        <f>(SUMIF('rates, dates, etc'!$R$333:$R$341,"Tuition (Fall)",'rates, dates, etc'!Z333:Z341))+
(SUMIF('rates, dates, etc'!$R$333:$R$341,"Tuition (Spring)",'rates, dates, etc'!Z333:Z341))+
(SUMIF('rates, dates, etc'!$R$333:$R$341,"Tuition (Summer)",'rates, dates, etc'!Z333:Z341))</f>
        <v>0</v>
      </c>
      <c r="W70" s="4">
        <f>(SUMIF('rates, dates, etc'!$R$333:$R$341,"Tuition (Fall)",'rates, dates, etc'!AA333:AA341))+
(SUMIF('rates, dates, etc'!$R$333:$R$341,"Tuition (Spring)",'rates, dates, etc'!AA333:AA341))+
(SUMIF('rates, dates, etc'!$R$333:$R$341,"Tuition (Summer)",'rates, dates, etc'!AA333:AA341))</f>
        <v>0</v>
      </c>
      <c r="X70" s="4">
        <f>(SUMIF('rates, dates, etc'!$R$333:$R$341,"Tuition (Fall)",'rates, dates, etc'!AB333:AB341))+
(SUMIF('rates, dates, etc'!$R$333:$R$341,"Tuition (Spring)",'rates, dates, etc'!AB333:AB341))+
(SUMIF('rates, dates, etc'!$R$333:$R$341,"Tuition (Summer)",'rates, dates, etc'!AB333:AB341))</f>
        <v>0</v>
      </c>
    </row>
    <row r="71" spans="14:26" x14ac:dyDescent="0.2">
      <c r="N71" s="3" t="s">
        <v>9</v>
      </c>
      <c r="O71" s="4">
        <f>(SUMIF('rates, dates, etc'!$R$333:$R$341,"Health Insurance (Fall)",'rates, dates, etc'!S333:S341))+
(SUMIF('rates, dates, etc'!$R$333:$R$341,"Health Insurance (Spring)",'rates, dates, etc'!S333:S341))+
(SUMIF('rates, dates, etc'!$R$333:$R$341,"Health Insurance (Summer)",'rates, dates, etc'!S333:S341))</f>
        <v>0</v>
      </c>
      <c r="P71" s="4">
        <f>(SUMIF('rates, dates, etc'!$R$333:$R$341,"Health Insurance (Fall)",'rates, dates, etc'!T333:T341))+
(SUMIF('rates, dates, etc'!$R$333:$R$341,"Health Insurance (Spring)",'rates, dates, etc'!T333:T341))+
(SUMIF('rates, dates, etc'!$R$333:$R$341,"Health Insurance (Summer)",'rates, dates, etc'!T333:T341))</f>
        <v>0</v>
      </c>
      <c r="Q71" s="4">
        <f>(SUMIF('rates, dates, etc'!$R$333:$R$341,"Health Insurance (Fall)",'rates, dates, etc'!U333:U341))+
(SUMIF('rates, dates, etc'!$R$333:$R$341,"Health Insurance (Spring)",'rates, dates, etc'!U333:U341))+
(SUMIF('rates, dates, etc'!$R$333:$R$341,"Health Insurance (Summer)",'rates, dates, etc'!U333:U341))</f>
        <v>0</v>
      </c>
      <c r="R71" s="4">
        <f>(SUMIF('rates, dates, etc'!$R$333:$R$341,"Health Insurance (Fall)",'rates, dates, etc'!V333:V341))+
(SUMIF('rates, dates, etc'!$R$333:$R$341,"Health Insurance (Spring)",'rates, dates, etc'!V333:V341))+
(SUMIF('rates, dates, etc'!$R$333:$R$341,"Health Insurance (Summer)",'rates, dates, etc'!V333:V341))</f>
        <v>0</v>
      </c>
      <c r="S71" s="4">
        <f>(SUMIF('rates, dates, etc'!$R$333:$R$341,"Health Insurance (Fall)",'rates, dates, etc'!W333:W341))+
(SUMIF('rates, dates, etc'!$R$333:$R$341,"Health Insurance (Spring)",'rates, dates, etc'!W333:W341))+
(SUMIF('rates, dates, etc'!$R$333:$R$341,"Health Insurance (Summer)",'rates, dates, etc'!W333:W341))</f>
        <v>0</v>
      </c>
      <c r="T71" s="4">
        <f>(SUMIF('rates, dates, etc'!$R$333:$R$341,"Health Insurance (Fall)",'rates, dates, etc'!X333:X341))+
(SUMIF('rates, dates, etc'!$R$333:$R$341,"Health Insurance (Spring)",'rates, dates, etc'!X333:X341))+
(SUMIF('rates, dates, etc'!$R$333:$R$341,"Health Insurance (Summer)",'rates, dates, etc'!X333:X341))</f>
        <v>0</v>
      </c>
      <c r="U71" s="4">
        <f>(SUMIF('rates, dates, etc'!$R$333:$R$341,"Health Insurance (Fall)",'rates, dates, etc'!Y333:Y341))+
(SUMIF('rates, dates, etc'!$R$333:$R$341,"Health Insurance (Spring)",'rates, dates, etc'!Y333:Y341))+
(SUMIF('rates, dates, etc'!$R$333:$R$341,"Health Insurance (Summer)",'rates, dates, etc'!Y333:Y341))</f>
        <v>0</v>
      </c>
      <c r="V71" s="4">
        <f>(SUMIF('rates, dates, etc'!$R$333:$R$341,"Health Insurance (Fall)",'rates, dates, etc'!Z333:Z341))+
(SUMIF('rates, dates, etc'!$R$333:$R$341,"Health Insurance (Spring)",'rates, dates, etc'!Z333:Z341))+
(SUMIF('rates, dates, etc'!$R$333:$R$341,"Health Insurance (Summer)",'rates, dates, etc'!Z333:Z341))</f>
        <v>0</v>
      </c>
      <c r="W71" s="4">
        <f>(SUMIF('rates, dates, etc'!$R$333:$R$341,"Health Insurance (Fall)",'rates, dates, etc'!AA333:AA341))+
(SUMIF('rates, dates, etc'!$R$333:$R$341,"Health Insurance (Spring)",'rates, dates, etc'!AA333:AA341))+
(SUMIF('rates, dates, etc'!$R$333:$R$341,"Health Insurance (Summer)",'rates, dates, etc'!AA333:AA341))</f>
        <v>0</v>
      </c>
      <c r="X71" s="4">
        <f>(SUMIF('rates, dates, etc'!$R$333:$R$341,"Health Insurance (Fall)",'rates, dates, etc'!AB333:AB341))+
(SUMIF('rates, dates, etc'!$R$333:$R$341,"Health Insurance (Spring)",'rates, dates, etc'!AB333:AB341))+
(SUMIF('rates, dates, etc'!$R$333:$R$341,"Health Insurance (Summer)",'rates, dates, etc'!AB333:AB341))</f>
        <v>0</v>
      </c>
    </row>
    <row r="72" spans="14:26" ht="10.5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48">SUM(T68:T71)</f>
        <v>0</v>
      </c>
      <c r="U72" s="16">
        <f t="shared" si="48"/>
        <v>0</v>
      </c>
      <c r="V72" s="16">
        <f t="shared" si="48"/>
        <v>0</v>
      </c>
      <c r="W72" s="16">
        <f t="shared" si="48"/>
        <v>0</v>
      </c>
      <c r="X72" s="16">
        <f t="shared" si="48"/>
        <v>0</v>
      </c>
    </row>
    <row r="76" spans="14:26" x14ac:dyDescent="0.2">
      <c r="N76" s="44" t="s">
        <v>33</v>
      </c>
    </row>
    <row r="77" spans="14:26" ht="10.5" x14ac:dyDescent="0.25">
      <c r="N77" s="64" t="s">
        <v>103</v>
      </c>
      <c r="O77" s="65" t="str">
        <f>+'rates, dates, etc'!AE5</f>
        <v>FY2024</v>
      </c>
      <c r="P77" s="65" t="str">
        <f>+'rates, dates, etc'!AF5</f>
        <v>FY2025</v>
      </c>
      <c r="Q77" s="65" t="str">
        <f>+'rates, dates, etc'!AG5</f>
        <v>FY2026</v>
      </c>
      <c r="R77" s="65" t="str">
        <f>+'rates, dates, etc'!AH5</f>
        <v>FY2027</v>
      </c>
      <c r="S77" s="65" t="str">
        <f>+'rates, dates, etc'!AI5</f>
        <v>FY2028</v>
      </c>
      <c r="T77" s="65" t="str">
        <f>+'rates, dates, etc'!AJ5</f>
        <v>FY2029</v>
      </c>
      <c r="U77" s="65" t="str">
        <f>+'rates, dates, etc'!AK5</f>
        <v>FY2030</v>
      </c>
      <c r="V77" s="65" t="str">
        <f>+'rates, dates, etc'!AL5</f>
        <v>FY2031</v>
      </c>
      <c r="W77" s="65" t="str">
        <f>+'rates, dates, etc'!AM5</f>
        <v>FY2032</v>
      </c>
      <c r="X77" s="65" t="str">
        <f>+'rates, dates, etc'!AN5</f>
        <v>FY2033</v>
      </c>
      <c r="Y77" s="65" t="str">
        <f>+'rates, dates, etc'!AO5</f>
        <v>FY2034</v>
      </c>
      <c r="Z77" s="65"/>
    </row>
    <row r="78" spans="14:26" x14ac:dyDescent="0.2">
      <c r="N78" s="2" t="str">
        <f>+'rates, dates, etc'!A275</f>
        <v xml:space="preserve">   Endowed - Senior Personnel</v>
      </c>
      <c r="O78" s="9">
        <f>IF('rates, dates, etc'!B274='rates, dates, etc'!AE5,'rates, dates, etc'!B275,'rates, dates, etc'!C275)</f>
        <v>0.37</v>
      </c>
      <c r="P78" s="9">
        <f>IF('rates, dates, etc'!C274='rates, dates, etc'!AF5,'rates, dates, etc'!C275,'rates, dates, etc'!D275)</f>
        <v>0.37</v>
      </c>
      <c r="Q78" s="9">
        <f>IF('rates, dates, etc'!D274='rates, dates, etc'!AG5,'rates, dates, etc'!D275,'rates, dates, etc'!E275)</f>
        <v>0.37</v>
      </c>
      <c r="R78" s="9">
        <f>IF('rates, dates, etc'!E274='rates, dates, etc'!AH5,'rates, dates, etc'!E275,'rates, dates, etc'!F275)</f>
        <v>0.37</v>
      </c>
      <c r="S78" s="9">
        <f>IF('rates, dates, etc'!F274='rates, dates, etc'!AI5,'rates, dates, etc'!F275,'rates, dates, etc'!G275)</f>
        <v>0.37</v>
      </c>
      <c r="T78" s="9">
        <f>IF('rates, dates, etc'!G274='rates, dates, etc'!AJ5,'rates, dates, etc'!G275,'rates, dates, etc'!H275)</f>
        <v>0.37</v>
      </c>
      <c r="U78" s="9">
        <f>IF('rates, dates, etc'!H274='rates, dates, etc'!AK5,'rates, dates, etc'!H275,'rates, dates, etc'!I275)</f>
        <v>0.37</v>
      </c>
      <c r="V78" s="9">
        <f>IF('rates, dates, etc'!I274='rates, dates, etc'!AL5,'rates, dates, etc'!I275,'rates, dates, etc'!J275)</f>
        <v>0.37</v>
      </c>
      <c r="W78" s="9">
        <f>IF('rates, dates, etc'!J274='rates, dates, etc'!AM5,'rates, dates, etc'!J275,'rates, dates, etc'!K275)</f>
        <v>0.37</v>
      </c>
      <c r="X78" s="9">
        <f>IF('rates, dates, etc'!K274='rates, dates, etc'!AN5,'rates, dates, etc'!K275,'rates, dates, etc'!L275)</f>
        <v>0.37</v>
      </c>
      <c r="Y78" s="9">
        <f>IF('rates, dates, etc'!L274='rates, dates, etc'!AO5,'rates, dates, etc'!L275,'rates, dates, etc'!M275)</f>
        <v>0.37</v>
      </c>
      <c r="Z78" s="9"/>
    </row>
    <row r="79" spans="14:26" x14ac:dyDescent="0.2">
      <c r="O79" s="1"/>
      <c r="P79" s="1"/>
    </row>
    <row r="80" spans="14:26" ht="10.5" x14ac:dyDescent="0.25">
      <c r="N80" s="64" t="s">
        <v>104</v>
      </c>
      <c r="O80" s="45" t="str">
        <f>+'rates, dates, etc'!AE4</f>
        <v>FY2024</v>
      </c>
      <c r="P80" s="45" t="str">
        <f>+'rates, dates, etc'!AF4</f>
        <v>FY2025</v>
      </c>
      <c r="Q80" s="45" t="str">
        <f>+'rates, dates, etc'!AG4</f>
        <v>FY2026</v>
      </c>
      <c r="R80" s="45" t="str">
        <f>+'rates, dates, etc'!AH4</f>
        <v>FY2027</v>
      </c>
      <c r="S80" s="45" t="str">
        <f>+'rates, dates, etc'!AI4</f>
        <v>FY2028</v>
      </c>
      <c r="T80" s="45" t="str">
        <f>+'rates, dates, etc'!AJ4</f>
        <v>FY2029</v>
      </c>
      <c r="U80" s="45" t="str">
        <f>+'rates, dates, etc'!AK4</f>
        <v>FY2030</v>
      </c>
      <c r="V80" s="45" t="str">
        <f>+'rates, dates, etc'!AL4</f>
        <v>FY2031</v>
      </c>
      <c r="W80" s="45" t="str">
        <f>+'rates, dates, etc'!AM4</f>
        <v>FY2032</v>
      </c>
      <c r="X80" s="45" t="str">
        <f>+'rates, dates, etc'!AN4</f>
        <v>FY2033</v>
      </c>
      <c r="Y80" s="45" t="str">
        <f>+'rates, dates, etc'!AO4</f>
        <v>FY2034</v>
      </c>
      <c r="Z80" s="45" t="str">
        <f>+'rates, dates, etc'!AP4</f>
        <v>FY2035</v>
      </c>
    </row>
    <row r="81" spans="14:26" x14ac:dyDescent="0.2">
      <c r="N81" s="2" t="str">
        <f>+'rates, dates, etc'!A275</f>
        <v xml:space="preserve">   Endowed - Senior Personnel</v>
      </c>
      <c r="O81" s="123">
        <f>+'rates, dates, etc'!B275</f>
        <v>0.37</v>
      </c>
      <c r="P81" s="123">
        <f>+'rates, dates, etc'!C275</f>
        <v>0.37</v>
      </c>
      <c r="Q81" s="123">
        <f>+'rates, dates, etc'!D275</f>
        <v>0.37</v>
      </c>
      <c r="R81" s="123">
        <f>+'rates, dates, etc'!E275</f>
        <v>0.37</v>
      </c>
      <c r="S81" s="123">
        <f>+'rates, dates, etc'!F275</f>
        <v>0.37</v>
      </c>
      <c r="T81" s="123">
        <f>+'rates, dates, etc'!G275</f>
        <v>0.37</v>
      </c>
      <c r="U81" s="123">
        <f>+'rates, dates, etc'!H275</f>
        <v>0.37</v>
      </c>
      <c r="V81" s="123">
        <f>+'rates, dates, etc'!I275</f>
        <v>0.37</v>
      </c>
      <c r="W81" s="123">
        <f>+'rates, dates, etc'!J275</f>
        <v>0.37</v>
      </c>
      <c r="X81" s="123">
        <f>+'rates, dates, etc'!K275</f>
        <v>0.37</v>
      </c>
      <c r="Y81" s="123">
        <f>+'rates, dates, etc'!L275</f>
        <v>0.37</v>
      </c>
      <c r="Z81" s="123">
        <f>+'rates, dates, etc'!M275</f>
        <v>0.37</v>
      </c>
    </row>
    <row r="82" spans="14:26" x14ac:dyDescent="0.2">
      <c r="N82" s="2" t="str">
        <f>+'rates, dates, etc'!A276</f>
        <v xml:space="preserve">   Endowed - Post Doc</v>
      </c>
      <c r="O82" s="1">
        <f>+'rates, dates, etc'!B276</f>
        <v>0.37</v>
      </c>
      <c r="P82" s="1">
        <f>+'rates, dates, etc'!C276</f>
        <v>0.37</v>
      </c>
      <c r="Q82" s="1">
        <f>+'rates, dates, etc'!D276</f>
        <v>0.37</v>
      </c>
      <c r="R82" s="1">
        <f>+'rates, dates, etc'!E276</f>
        <v>0.37</v>
      </c>
      <c r="S82" s="1">
        <f>+'rates, dates, etc'!F276</f>
        <v>0.37</v>
      </c>
      <c r="T82" s="1">
        <f>+'rates, dates, etc'!G276</f>
        <v>0.37</v>
      </c>
      <c r="U82" s="1">
        <f>+'rates, dates, etc'!H276</f>
        <v>0.37</v>
      </c>
      <c r="V82" s="1">
        <f>+'rates, dates, etc'!I276</f>
        <v>0.37</v>
      </c>
      <c r="W82" s="1">
        <f>+'rates, dates, etc'!J276</f>
        <v>0.37</v>
      </c>
      <c r="X82" s="1">
        <f>+'rates, dates, etc'!K276</f>
        <v>0.37</v>
      </c>
      <c r="Y82" s="1">
        <f>+'rates, dates, etc'!L276</f>
        <v>0.37</v>
      </c>
      <c r="Z82" s="1">
        <f>+'rates, dates, etc'!M276</f>
        <v>0.37</v>
      </c>
    </row>
    <row r="83" spans="14:26" x14ac:dyDescent="0.2">
      <c r="N83" s="2" t="str">
        <f>+'rates, dates, etc'!A277</f>
        <v xml:space="preserve">   Endowed - Other Employee</v>
      </c>
      <c r="O83" s="1">
        <f>+'rates, dates, etc'!B277</f>
        <v>0.37</v>
      </c>
      <c r="P83" s="1">
        <f>+'rates, dates, etc'!C277</f>
        <v>0.37</v>
      </c>
      <c r="Q83" s="1">
        <f>+'rates, dates, etc'!D277</f>
        <v>0.37</v>
      </c>
      <c r="R83" s="1">
        <f>+'rates, dates, etc'!E277</f>
        <v>0.37</v>
      </c>
      <c r="S83" s="1">
        <f>+'rates, dates, etc'!F277</f>
        <v>0.37</v>
      </c>
      <c r="T83" s="1">
        <f>+'rates, dates, etc'!G277</f>
        <v>0.37</v>
      </c>
      <c r="U83" s="1">
        <f>+'rates, dates, etc'!H277</f>
        <v>0.37</v>
      </c>
      <c r="V83" s="1">
        <f>+'rates, dates, etc'!I277</f>
        <v>0.37</v>
      </c>
      <c r="W83" s="1">
        <f>+'rates, dates, etc'!J277</f>
        <v>0.37</v>
      </c>
      <c r="X83" s="1">
        <f>+'rates, dates, etc'!K277</f>
        <v>0.37</v>
      </c>
      <c r="Y83" s="1">
        <f>+'rates, dates, etc'!L277</f>
        <v>0.37</v>
      </c>
      <c r="Z83" s="1">
        <f>+'rates, dates, etc'!M277</f>
        <v>0.37</v>
      </c>
    </row>
    <row r="85" spans="14:26" ht="10.5" x14ac:dyDescent="0.25">
      <c r="N85" s="64" t="str">
        <f>+'rates, dates, etc'!A36</f>
        <v/>
      </c>
      <c r="O85" s="1" t="str">
        <f>+'rates, dates, etc'!B36</f>
        <v/>
      </c>
      <c r="P85" s="1" t="str">
        <f>+'rates, dates, etc'!C36</f>
        <v/>
      </c>
      <c r="Q85" s="1" t="str">
        <f>+'rates, dates, etc'!D36</f>
        <v/>
      </c>
      <c r="R85" s="1" t="str">
        <f>+'rates, dates, etc'!E36</f>
        <v/>
      </c>
      <c r="S85" s="1" t="str">
        <f>+'rates, dates, etc'!F36</f>
        <v/>
      </c>
      <c r="T85" s="1" t="str">
        <f>+'rates, dates, etc'!G36</f>
        <v/>
      </c>
      <c r="U85" s="1" t="str">
        <f>+'rates, dates, etc'!H36</f>
        <v/>
      </c>
      <c r="V85" s="1" t="str">
        <f>+'rates, dates, etc'!I36</f>
        <v/>
      </c>
      <c r="W85" s="1" t="str">
        <f>+'rates, dates, etc'!J36</f>
        <v/>
      </c>
      <c r="X85" s="1" t="str">
        <f>+'rates, dates, etc'!K36</f>
        <v/>
      </c>
      <c r="Y85" s="1" t="str">
        <f>+'rates, dates, etc'!L36</f>
        <v/>
      </c>
      <c r="Z85" s="1" t="str">
        <f>+'rates, dates, etc'!M36</f>
        <v/>
      </c>
    </row>
    <row r="86" spans="14:26" ht="10.5" x14ac:dyDescent="0.25">
      <c r="N86" s="47" t="str">
        <f>+'rates, dates, etc'!A278</f>
        <v>Cornell IDC Rate - Endowed College</v>
      </c>
      <c r="O86" s="1">
        <f>+'rates, dates, etc'!B278</f>
        <v>0.64</v>
      </c>
      <c r="P86" s="1">
        <f>+'rates, dates, etc'!C278</f>
        <v>0.64</v>
      </c>
      <c r="Q86" s="1">
        <f>+'rates, dates, etc'!D278</f>
        <v>0.64</v>
      </c>
      <c r="R86" s="1">
        <f>+'rates, dates, etc'!E278</f>
        <v>0.64</v>
      </c>
      <c r="S86" s="1">
        <f>+'rates, dates, etc'!F278</f>
        <v>0.64</v>
      </c>
      <c r="T86" s="1">
        <f>+'rates, dates, etc'!G278</f>
        <v>0.64</v>
      </c>
      <c r="U86" s="1">
        <f>+'rates, dates, etc'!H278</f>
        <v>0.64</v>
      </c>
      <c r="V86" s="1">
        <f>+'rates, dates, etc'!I278</f>
        <v>0.64</v>
      </c>
      <c r="W86" s="1">
        <f>+'rates, dates, etc'!J278</f>
        <v>0.64</v>
      </c>
      <c r="X86" s="1">
        <f>+'rates, dates, etc'!K278</f>
        <v>0.64</v>
      </c>
      <c r="Y86" s="1">
        <f>+'rates, dates, etc'!L278</f>
        <v>0.64</v>
      </c>
      <c r="Z86" s="1">
        <f>+'rates, dates, etc'!M278</f>
        <v>0.64</v>
      </c>
    </row>
    <row r="87" spans="14:26" x14ac:dyDescent="0.2">
      <c r="S87" s="5"/>
      <c r="T87" s="5"/>
    </row>
    <row r="88" spans="14:26" ht="10.5" x14ac:dyDescent="0.25">
      <c r="N88" s="47" t="str">
        <f>+'rates, dates, etc'!O34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etc'!P35</f>
        <v>12</v>
      </c>
      <c r="P89" s="44">
        <f>+'rates, dates, etc'!Q35</f>
        <v>1</v>
      </c>
      <c r="S89" s="5"/>
      <c r="T89" s="5"/>
    </row>
    <row r="90" spans="14:26" x14ac:dyDescent="0.2">
      <c r="N90" s="48" t="s">
        <v>47</v>
      </c>
      <c r="O90" s="44">
        <f>+'rates, dates, etc'!P36</f>
        <v>0</v>
      </c>
      <c r="P90" s="44">
        <f>+'rates, dates, etc'!Q36</f>
        <v>0</v>
      </c>
    </row>
    <row r="91" spans="14:26" x14ac:dyDescent="0.2">
      <c r="N91" s="46"/>
      <c r="O91" s="49">
        <f>SUM(O89:O90)</f>
        <v>12</v>
      </c>
      <c r="P91" s="1" t="s">
        <v>83</v>
      </c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5D5891A-2160-468F-A066-1CBDE30F4502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2" id="{98648DFB-7B22-413F-8D42-9AA39569B641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3B4D5A24-A1D7-409C-9DBB-950196B14BF1}">
            <xm:f>'rates, dates, etc'!$B$8="Yes"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1" stopIfTrue="1" id="{30BDA298-9C95-4E3A-BDA8-0F78354207C5}">
            <xm:f>'rates, dates, etc'!$B$8="Yes"</xm:f>
            <x14:dxf/>
          </x14:cfRule>
          <xm:sqref>A63:L63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Z94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etc'!A18)</f>
        <v>Cornell University - Co-PI Budget (4)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3" ht="11" thickBot="1" x14ac:dyDescent="0.3">
      <c r="A5" s="68" t="str">
        <f>CONCATENATE("Co-PI: ",'rates, dates, etc'!B18)</f>
        <v>Co-PI: Co-PI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G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si="5"/>
        <v>47299</v>
      </c>
      <c r="H6" s="245">
        <f t="shared" ref="H6:K6" si="6">DATE(YEAR(H5), MONTH(H5) + 12, DAY(H5))-1</f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etc'!A366</f>
        <v>Co-PI</v>
      </c>
      <c r="B8" s="17">
        <f>HLOOKUP(B$4,'rates, dates, etc'!B365:I371,7,FALSE)</f>
        <v>0</v>
      </c>
      <c r="C8" s="17">
        <f>HLOOKUP(C$4,'rates, dates, etc'!C365:O371,7,FALSE)</f>
        <v>0</v>
      </c>
      <c r="D8" s="17">
        <f>HLOOKUP(D$4,'rates, dates, etc'!D365:P371,7,FALSE)</f>
        <v>0</v>
      </c>
      <c r="E8" s="17">
        <f>HLOOKUP(E$4,'rates, dates, etc'!E365:Q371,7,FALSE)</f>
        <v>0</v>
      </c>
      <c r="F8" s="17">
        <f>HLOOKUP(F$4,'rates, dates, etc'!F365:R371,7,FALSE)</f>
        <v>0</v>
      </c>
      <c r="G8" s="17">
        <f>HLOOKUP(G$4,'rates, dates, etc'!G365:S371,7,FALSE)</f>
        <v>0</v>
      </c>
      <c r="H8" s="17">
        <f>HLOOKUP(H$4,'rates, dates, etc'!H365:T371,7,FALSE)</f>
        <v>0</v>
      </c>
      <c r="I8" s="17">
        <f>HLOOKUP(I$4,'rates, dates, etc'!I365:U371,7,FALSE)</f>
        <v>0</v>
      </c>
      <c r="J8" s="17">
        <f>HLOOKUP(J$4,'rates, dates, etc'!J365:V371,7,FALSE)</f>
        <v>0</v>
      </c>
      <c r="K8" s="17">
        <f>HLOOKUP(K$4,'rates, dates, etc'!K365:W371,7,FALSE)</f>
        <v>0</v>
      </c>
      <c r="L8" s="83">
        <f>SUM(B8:K8)</f>
        <v>0</v>
      </c>
    </row>
    <row r="9" spans="1:13" x14ac:dyDescent="0.2">
      <c r="A9" s="3" t="str">
        <f>+'rates, dates, etc'!A374</f>
        <v>Co-PI</v>
      </c>
      <c r="B9" s="17">
        <f>HLOOKUP(B$4,'rates, dates, etc'!B373:I379,7,FALSE)</f>
        <v>0</v>
      </c>
      <c r="C9" s="17">
        <f>HLOOKUP(C$4,'rates, dates, etc'!C373:O379,7,FALSE)</f>
        <v>0</v>
      </c>
      <c r="D9" s="17">
        <f>HLOOKUP(D$4,'rates, dates, etc'!D373:P379,7,FALSE)</f>
        <v>0</v>
      </c>
      <c r="E9" s="17">
        <f>HLOOKUP(E$4,'rates, dates, etc'!E373:Q379,7,FALSE)</f>
        <v>0</v>
      </c>
      <c r="F9" s="17">
        <f>HLOOKUP(F$4,'rates, dates, etc'!F373:R379,7,FALSE)</f>
        <v>0</v>
      </c>
      <c r="G9" s="17">
        <f>HLOOKUP(G$4,'rates, dates, etc'!G373:S379,7,FALSE)</f>
        <v>0</v>
      </c>
      <c r="H9" s="17">
        <f>HLOOKUP(H$4,'rates, dates, etc'!H373:T379,7,FALSE)</f>
        <v>0</v>
      </c>
      <c r="I9" s="17">
        <f>HLOOKUP(I$4,'rates, dates, etc'!I373:U379,7,FALSE)</f>
        <v>0</v>
      </c>
      <c r="J9" s="17">
        <f>HLOOKUP(J$4,'rates, dates, etc'!J373:V379,7,FALSE)</f>
        <v>0</v>
      </c>
      <c r="K9" s="17">
        <f>HLOOKUP(K$4,'rates, dates, etc'!K373:W379,7,FALSE)</f>
        <v>0</v>
      </c>
      <c r="L9" s="83">
        <f t="shared" ref="L9:L10" si="7">SUM(B9:K9)</f>
        <v>0</v>
      </c>
    </row>
    <row r="10" spans="1:13" x14ac:dyDescent="0.2">
      <c r="A10" s="3" t="str">
        <f>+'rates, dates, etc'!A382</f>
        <v>Co-PI</v>
      </c>
      <c r="B10" s="17">
        <f>HLOOKUP(B$4,'rates, dates, etc'!B381:I387,7,FALSE)</f>
        <v>0</v>
      </c>
      <c r="C10" s="17">
        <f>HLOOKUP(C$4,'rates, dates, etc'!C381:O387,7,FALSE)</f>
        <v>0</v>
      </c>
      <c r="D10" s="17">
        <f>HLOOKUP(D$4,'rates, dates, etc'!D381:P387,7,FALSE)</f>
        <v>0</v>
      </c>
      <c r="E10" s="17">
        <f>HLOOKUP(E$4,'rates, dates, etc'!E381:Q387,7,FALSE)</f>
        <v>0</v>
      </c>
      <c r="F10" s="17">
        <f>HLOOKUP(F$4,'rates, dates, etc'!F381:R387,7,FALSE)</f>
        <v>0</v>
      </c>
      <c r="G10" s="17">
        <f>HLOOKUP(G$4,'rates, dates, etc'!G381:S387,7,FALSE)</f>
        <v>0</v>
      </c>
      <c r="H10" s="17">
        <f>HLOOKUP(H$4,'rates, dates, etc'!H381:T387,7,FALSE)</f>
        <v>0</v>
      </c>
      <c r="I10" s="17">
        <f>HLOOKUP(I$4,'rates, dates, etc'!I381:U387,7,FALSE)</f>
        <v>0</v>
      </c>
      <c r="J10" s="17">
        <f>HLOOKUP(J$4,'rates, dates, etc'!J381:V387,7,FALSE)</f>
        <v>0</v>
      </c>
      <c r="K10" s="17">
        <f>HLOOKUP(K$4,'rates, dates, etc'!K381:W387,7,FALSE)</f>
        <v>0</v>
      </c>
      <c r="L10" s="83">
        <f t="shared" si="7"/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E11" si="8">SUM(C7:C10)</f>
        <v>0</v>
      </c>
      <c r="D11" s="6">
        <f t="shared" si="8"/>
        <v>0</v>
      </c>
      <c r="E11" s="6">
        <f t="shared" si="8"/>
        <v>0</v>
      </c>
      <c r="F11" s="6">
        <f t="shared" ref="F11:K11" si="9">SUM(F7:F10)</f>
        <v>0</v>
      </c>
      <c r="G11" s="6">
        <f t="shared" si="9"/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etc'!A390</f>
        <v>Post Doctoral Scholar(s)</v>
      </c>
      <c r="B13" s="5">
        <f>HLOOKUP(B$4,'rates, dates, etc'!B389:I394,6,FALSE)</f>
        <v>0</v>
      </c>
      <c r="C13" s="5">
        <f>HLOOKUP(C$4,'rates, dates, etc'!C389:O394,6,FALSE)</f>
        <v>0</v>
      </c>
      <c r="D13" s="5">
        <f>HLOOKUP(D$4,'rates, dates, etc'!D389:P394,6,FALSE)</f>
        <v>0</v>
      </c>
      <c r="E13" s="5">
        <f>HLOOKUP(E$4,'rates, dates, etc'!E389:Q394,6,FALSE)</f>
        <v>0</v>
      </c>
      <c r="F13" s="5">
        <f>HLOOKUP(F$4,'rates, dates, etc'!F389:R394,6,FALSE)</f>
        <v>0</v>
      </c>
      <c r="G13" s="5">
        <f>HLOOKUP(G$4,'rates, dates, etc'!G389:S394,6,FALSE)</f>
        <v>0</v>
      </c>
      <c r="H13" s="5">
        <f>HLOOKUP(H$4,'rates, dates, etc'!H389:T394,6,FALSE)</f>
        <v>0</v>
      </c>
      <c r="I13" s="5">
        <f>HLOOKUP(I$4,'rates, dates, etc'!I389:U394,6,FALSE)</f>
        <v>0</v>
      </c>
      <c r="J13" s="5">
        <f>HLOOKUP(J$4,'rates, dates, etc'!J389:V394,6,FALSE)</f>
        <v>0</v>
      </c>
      <c r="K13" s="5">
        <f>HLOOKUP(K$4,'rates, dates, etc'!K389:W394,6,FALSE)</f>
        <v>0</v>
      </c>
      <c r="L13" s="83">
        <f>SUM(B13:K13)</f>
        <v>0</v>
      </c>
    </row>
    <row r="14" spans="1:13" x14ac:dyDescent="0.2">
      <c r="A14" s="3" t="str">
        <f>+'rates, dates, etc'!A397</f>
        <v>Other Professional(s) (Technicians, etc)</v>
      </c>
      <c r="B14" s="5">
        <f>HLOOKUP(B$4,'rates, dates, etc'!B396:I401,6,FALSE)</f>
        <v>0</v>
      </c>
      <c r="C14" s="5">
        <f>HLOOKUP(C$4,'rates, dates, etc'!C396:O401,6,FALSE)</f>
        <v>0</v>
      </c>
      <c r="D14" s="5">
        <f>HLOOKUP(D$4,'rates, dates, etc'!D396:P401,6,FALSE)</f>
        <v>0</v>
      </c>
      <c r="E14" s="5">
        <f>HLOOKUP(E$4,'rates, dates, etc'!E396:Q401,6,FALSE)</f>
        <v>0</v>
      </c>
      <c r="F14" s="5">
        <f>HLOOKUP(F$4,'rates, dates, etc'!F396:R401,6,FALSE)</f>
        <v>0</v>
      </c>
      <c r="G14" s="5">
        <f>HLOOKUP(G$4,'rates, dates, etc'!G396:S401,6,FALSE)</f>
        <v>0</v>
      </c>
      <c r="H14" s="5">
        <f>HLOOKUP(H$4,'rates, dates, etc'!H396:T401,6,FALSE)</f>
        <v>0</v>
      </c>
      <c r="I14" s="5">
        <f>HLOOKUP(I$4,'rates, dates, etc'!I396:U401,6,FALSE)</f>
        <v>0</v>
      </c>
      <c r="J14" s="5">
        <f>HLOOKUP(J$4,'rates, dates, etc'!J396:V401,6,FALSE)</f>
        <v>0</v>
      </c>
      <c r="K14" s="5">
        <f>HLOOKUP(K$4,'rates, dates, etc'!K396:W401,6,FALSE)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etc'!A403</f>
        <v>Graduate Student(s)</v>
      </c>
      <c r="B15" s="5">
        <f>O68+O69</f>
        <v>0</v>
      </c>
      <c r="C15" s="5">
        <f t="shared" ref="C15:E15" si="11">P68+P69</f>
        <v>0</v>
      </c>
      <c r="D15" s="5">
        <f t="shared" si="11"/>
        <v>0</v>
      </c>
      <c r="E15" s="5">
        <f t="shared" si="11"/>
        <v>0</v>
      </c>
      <c r="F15" s="5">
        <f t="shared" ref="F15" si="12">S68+S69</f>
        <v>0</v>
      </c>
      <c r="G15" s="5">
        <f t="shared" ref="G15" si="13">T68+T69</f>
        <v>0</v>
      </c>
      <c r="H15" s="5">
        <f t="shared" ref="H15" si="14">U68+U69</f>
        <v>0</v>
      </c>
      <c r="I15" s="5">
        <f t="shared" ref="I15" si="15">V68+V69</f>
        <v>0</v>
      </c>
      <c r="J15" s="5">
        <f t="shared" ref="J15" si="16">W68+W69</f>
        <v>0</v>
      </c>
      <c r="K15" s="5">
        <f t="shared" ref="K15" si="17">X68+X69</f>
        <v>0</v>
      </c>
      <c r="L15" s="83">
        <f t="shared" si="10"/>
        <v>0</v>
      </c>
    </row>
    <row r="16" spans="1:13" x14ac:dyDescent="0.2">
      <c r="A16" s="3" t="str">
        <f>+'rates, dates, etc'!A408</f>
        <v>Undergraduate Student(s)</v>
      </c>
      <c r="B16" s="5">
        <f>+'rates, dates, etc'!B416</f>
        <v>0</v>
      </c>
      <c r="C16" s="5">
        <f>+'rates, dates, etc'!C416</f>
        <v>0</v>
      </c>
      <c r="D16" s="5">
        <f>+'rates, dates, etc'!D416</f>
        <v>0</v>
      </c>
      <c r="E16" s="5">
        <f>+'rates, dates, etc'!E416</f>
        <v>0</v>
      </c>
      <c r="F16" s="5">
        <f>+'rates, dates, etc'!F416</f>
        <v>0</v>
      </c>
      <c r="G16" s="5">
        <f>+'rates, dates, etc'!G416</f>
        <v>0</v>
      </c>
      <c r="H16" s="5">
        <f>+'rates, dates, etc'!H416</f>
        <v>0</v>
      </c>
      <c r="I16" s="5">
        <f>+'rates, dates, etc'!I416</f>
        <v>0</v>
      </c>
      <c r="J16" s="5">
        <f>+'rates, dates, etc'!J416</f>
        <v>0</v>
      </c>
      <c r="K16" s="5">
        <f>+'rates, dates, etc'!K416</f>
        <v>0</v>
      </c>
      <c r="L16" s="83">
        <f t="shared" si="10"/>
        <v>0</v>
      </c>
    </row>
    <row r="17" spans="1:12" x14ac:dyDescent="0.2">
      <c r="A17" s="3" t="str">
        <f>+'rates, dates, etc'!A419</f>
        <v>Other</v>
      </c>
      <c r="B17" s="5">
        <f>HLOOKUP(B$4,'rates, dates, etc'!B418:I423,6,FALSE)</f>
        <v>0</v>
      </c>
      <c r="C17" s="5">
        <f>HLOOKUP(C$4,'rates, dates, etc'!C418:O423,6,FALSE)</f>
        <v>0</v>
      </c>
      <c r="D17" s="5">
        <f>HLOOKUP(D$4,'rates, dates, etc'!D418:P423,6,FALSE)</f>
        <v>0</v>
      </c>
      <c r="E17" s="5">
        <f>HLOOKUP(E$4,'rates, dates, etc'!E418:Q423,6,FALSE)</f>
        <v>0</v>
      </c>
      <c r="F17" s="5">
        <f>HLOOKUP(F$4,'rates, dates, etc'!F418:R423,6,FALSE)</f>
        <v>0</v>
      </c>
      <c r="G17" s="5">
        <f>HLOOKUP(G$4,'rates, dates, etc'!G418:S423,6,FALSE)</f>
        <v>0</v>
      </c>
      <c r="H17" s="5">
        <f>HLOOKUP(H$4,'rates, dates, etc'!H418:T423,6,FALSE)</f>
        <v>0</v>
      </c>
      <c r="I17" s="5">
        <f>HLOOKUP(I$4,'rates, dates, etc'!I418:U423,6,FALSE)</f>
        <v>0</v>
      </c>
      <c r="J17" s="5">
        <f>HLOOKUP(J$4,'rates, dates, etc'!J418:V423,6,FALSE)</f>
        <v>0</v>
      </c>
      <c r="K17" s="5">
        <f>HLOOKUP(K$4,'rates, dates, etc'!K418:W423,6,FALSE)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0.5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" si="18">SUM(D12:D18)</f>
        <v>0</v>
      </c>
      <c r="E19" s="6">
        <f>SUM(E12:E18)</f>
        <v>0</v>
      </c>
      <c r="F19" s="6">
        <f t="shared" ref="F19:K19" si="19">SUM(F12:F18)</f>
        <v>0</v>
      </c>
      <c r="G19" s="6">
        <f t="shared" si="19"/>
        <v>0</v>
      </c>
      <c r="H19" s="6">
        <f t="shared" si="19"/>
        <v>0</v>
      </c>
      <c r="I19" s="6">
        <f t="shared" si="19"/>
        <v>0</v>
      </c>
      <c r="J19" s="6">
        <f t="shared" si="19"/>
        <v>0</v>
      </c>
      <c r="K19" s="6">
        <f t="shared" si="19"/>
        <v>0</v>
      </c>
      <c r="L19" s="86">
        <f>SUM(L12:L18)</f>
        <v>0</v>
      </c>
    </row>
    <row r="20" spans="1:12" ht="10.5" x14ac:dyDescent="0.25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etc'!$O367=9,ROUND((+B8*O$78),0),ROUND((+B8*O$81*$P$89)+(B8*P$81*$P$90),0))</f>
        <v>0</v>
      </c>
      <c r="C21" s="17">
        <f>IF('rates, dates, etc'!$O367=9,ROUND((+C8*P$78),0),ROUND((+C8*P$81*$P$89)+(C8*Q$81*$P$90),0))</f>
        <v>0</v>
      </c>
      <c r="D21" s="17">
        <f>IF('rates, dates, etc'!$O367=9,ROUND((+D8*Q$78),0),ROUND((+D8*Q$81*$P$89)+(D8*R$81*$P$90),0))</f>
        <v>0</v>
      </c>
      <c r="E21" s="17">
        <f>IF('rates, dates, etc'!$O367=9,ROUND((+E8*R$78),0),ROUND((+E8*R$81*$P$89)+(E8*S$81*$P$90),0))</f>
        <v>0</v>
      </c>
      <c r="F21" s="17">
        <f>IF('rates, dates, etc'!$O367=9,ROUND((+F8*S$78),0),ROUND((+F8*S$81*$P$89)+(F8*T$81*$P$90),0))</f>
        <v>0</v>
      </c>
      <c r="G21" s="17">
        <f>IF('rates, dates, etc'!$O367=9,ROUND((+G8*T$78),0),ROUND((+G8*T$81*$P$89)+(G8*U$81*$P$90),0))</f>
        <v>0</v>
      </c>
      <c r="H21" s="17">
        <f>IF('rates, dates, etc'!$O367=9,ROUND((+H8*U$78),0),ROUND((+H8*U$81*$P$89)+(H8*V$81*$P$90),0))</f>
        <v>0</v>
      </c>
      <c r="I21" s="17">
        <f>IF('rates, dates, etc'!$O367=9,ROUND((+I8*V$78),0),ROUND((+I8*V$81*$P$89)+(I8*W$81*$P$90),0))</f>
        <v>0</v>
      </c>
      <c r="J21" s="17">
        <f>IF('rates, dates, etc'!$O367=9,ROUND((+J8*W$78),0),ROUND((+J8*W$81*$P$89)+(J8*X$81*$P$90),0))</f>
        <v>0</v>
      </c>
      <c r="K21" s="17">
        <f>IF('rates, dates, etc'!$O367=9,ROUND((+K8*X$78),0),ROUND((+K8*X$81*$P$89)+(K8*Y$81*$P$90),0))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etc'!$O375=9,ROUND((+B9*O$78),0),ROUND((+B9*O$81*$P$89)+(B9*P$81*$P$90),0))</f>
        <v>0</v>
      </c>
      <c r="C22" s="17">
        <f>IF('rates, dates, etc'!$O375=9,ROUND((+C9*P$78),0),ROUND((+C9*P$81*$P$89)+(C9*Q$81*$P$90),0))</f>
        <v>0</v>
      </c>
      <c r="D22" s="17">
        <f>IF('rates, dates, etc'!$O375=9,ROUND((+D9*Q$78),0),ROUND((+D9*Q$81*$P$89)+(D9*R$81*$P$90),0))</f>
        <v>0</v>
      </c>
      <c r="E22" s="17">
        <f>IF('rates, dates, etc'!$O375=9,ROUND((+E9*R$78),0),ROUND((+E9*R$81*$P$89)+(E9*S$81*$P$90),0))</f>
        <v>0</v>
      </c>
      <c r="F22" s="17">
        <f>IF('rates, dates, etc'!$O375=9,ROUND((+F9*S$78),0),ROUND((+F9*S$81*$P$89)+(F9*T$81*$P$90),0))</f>
        <v>0</v>
      </c>
      <c r="G22" s="17">
        <f>IF('rates, dates, etc'!$O375=9,ROUND((+G9*T$78),0),ROUND((+G9*T$81*$P$89)+(G9*U$81*$P$90),0))</f>
        <v>0</v>
      </c>
      <c r="H22" s="17">
        <f>IF('rates, dates, etc'!$O375=9,ROUND((+H9*U$78),0),ROUND((+H9*U$81*$P$89)+(H9*V$81*$P$90),0))</f>
        <v>0</v>
      </c>
      <c r="I22" s="17">
        <f>IF('rates, dates, etc'!$O375=9,ROUND((+I9*V$78),0),ROUND((+I9*V$81*$P$89)+(I9*W$81*$P$90),0))</f>
        <v>0</v>
      </c>
      <c r="J22" s="17">
        <f>IF('rates, dates, etc'!$O375=9,ROUND((+J9*W$78),0),ROUND((+J9*W$81*$P$89)+(J9*X$81*$P$90),0))</f>
        <v>0</v>
      </c>
      <c r="K22" s="17">
        <f>IF('rates, dates, etc'!$O375=9,ROUND((+K9*X$78),0),ROUND((+K9*X$81*$P$89)+(K9*Y$81*$P$90),0))</f>
        <v>0</v>
      </c>
      <c r="L22" s="83">
        <f t="shared" ref="L22:L26" si="20">SUM(B22:K22)</f>
        <v>0</v>
      </c>
    </row>
    <row r="23" spans="1:12" x14ac:dyDescent="0.2">
      <c r="A23" s="3" t="str">
        <f>+A10</f>
        <v>Co-PI</v>
      </c>
      <c r="B23" s="17">
        <f>IF('rates, dates, etc'!$O383=9,ROUND((+B10*O$78),0),ROUND((+B10*O$81*$P$89)+(B10*P$81*$P$90),0))</f>
        <v>0</v>
      </c>
      <c r="C23" s="17">
        <f>IF('rates, dates, etc'!$O383=9,ROUND((+C10*P$78),0),ROUND((+C10*P$81*$P$89)+(C10*Q$81*$P$90),0))</f>
        <v>0</v>
      </c>
      <c r="D23" s="17">
        <f>IF('rates, dates, etc'!$O383=9,ROUND((+D10*Q$78),0),ROUND((+D10*Q$81*$P$89)+(D10*R$81*$P$90),0))</f>
        <v>0</v>
      </c>
      <c r="E23" s="17">
        <f>IF('rates, dates, etc'!$O383=9,ROUND((+E10*R$78),0),ROUND((+E10*R$81*$P$89)+(E10*S$81*$P$90),0))</f>
        <v>0</v>
      </c>
      <c r="F23" s="17">
        <f>IF('rates, dates, etc'!$O383=9,ROUND((+F10*S$78),0),ROUND((+F10*S$81*$P$89)+(F10*T$81*$P$90),0))</f>
        <v>0</v>
      </c>
      <c r="G23" s="17">
        <f>IF('rates, dates, etc'!$O383=9,ROUND((+G10*T$78),0),ROUND((+G10*T$81*$P$89)+(G10*U$81*$P$90),0))</f>
        <v>0</v>
      </c>
      <c r="H23" s="17">
        <f>IF('rates, dates, etc'!$O383=9,ROUND((+H10*U$78),0),ROUND((+H10*U$81*$P$89)+(H10*V$81*$P$90),0))</f>
        <v>0</v>
      </c>
      <c r="I23" s="17">
        <f>IF('rates, dates, etc'!$O383=9,ROUND((+I10*V$78),0),ROUND((+I10*V$81*$P$89)+(I10*W$81*$P$90),0))</f>
        <v>0</v>
      </c>
      <c r="J23" s="17">
        <f>IF('rates, dates, etc'!$O383=9,ROUND((+J10*W$78),0),ROUND((+J10*W$81*$P$89)+(J10*X$81*$P$90),0))</f>
        <v>0</v>
      </c>
      <c r="K23" s="17">
        <f>IF('rates, dates, etc'!$O383=9,ROUND((+K10*X$78),0),ROUND((+K10*X$81*$P$89)+(K10*Y$81*$P$90),0))</f>
        <v>0</v>
      </c>
      <c r="L23" s="83">
        <f t="shared" si="20"/>
        <v>0</v>
      </c>
    </row>
    <row r="24" spans="1:12" x14ac:dyDescent="0.2">
      <c r="A24" s="3" t="str">
        <f>+A13</f>
        <v>Post Doctoral Scholar(s)</v>
      </c>
      <c r="B24" s="17">
        <f t="shared" ref="B24:E25" si="21">ROUND((+B13*O82*$P$89)+(B13*P82*$P$90),0)</f>
        <v>0</v>
      </c>
      <c r="C24" s="17">
        <f t="shared" si="21"/>
        <v>0</v>
      </c>
      <c r="D24" s="17">
        <f t="shared" si="21"/>
        <v>0</v>
      </c>
      <c r="E24" s="17">
        <f t="shared" si="21"/>
        <v>0</v>
      </c>
      <c r="F24" s="17">
        <f t="shared" ref="F24:K24" si="22">ROUND((+F13*S82*$P$89)+(F13*T82*$P$90),0)</f>
        <v>0</v>
      </c>
      <c r="G24" s="17">
        <f t="shared" si="22"/>
        <v>0</v>
      </c>
      <c r="H24" s="17">
        <f t="shared" si="22"/>
        <v>0</v>
      </c>
      <c r="I24" s="17">
        <f t="shared" si="22"/>
        <v>0</v>
      </c>
      <c r="J24" s="17">
        <f t="shared" si="22"/>
        <v>0</v>
      </c>
      <c r="K24" s="17">
        <f t="shared" si="22"/>
        <v>0</v>
      </c>
      <c r="L24" s="83">
        <f t="shared" si="20"/>
        <v>0</v>
      </c>
    </row>
    <row r="25" spans="1:12" x14ac:dyDescent="0.2">
      <c r="A25" s="3" t="str">
        <f>+A14</f>
        <v>Other Professional(s) (Technicians, etc)</v>
      </c>
      <c r="B25" s="17">
        <f t="shared" si="21"/>
        <v>0</v>
      </c>
      <c r="C25" s="17">
        <f t="shared" si="21"/>
        <v>0</v>
      </c>
      <c r="D25" s="17">
        <f t="shared" si="21"/>
        <v>0</v>
      </c>
      <c r="E25" s="17">
        <f t="shared" si="21"/>
        <v>0</v>
      </c>
      <c r="F25" s="17">
        <f t="shared" ref="F25:K25" si="23">ROUND((+F14*S83*$P$89)+(F14*T83*$P$90),0)</f>
        <v>0</v>
      </c>
      <c r="G25" s="17">
        <f t="shared" si="23"/>
        <v>0</v>
      </c>
      <c r="H25" s="17">
        <f t="shared" si="23"/>
        <v>0</v>
      </c>
      <c r="I25" s="17">
        <f t="shared" si="23"/>
        <v>0</v>
      </c>
      <c r="J25" s="17">
        <f t="shared" si="23"/>
        <v>0</v>
      </c>
      <c r="K25" s="17">
        <f t="shared" si="23"/>
        <v>0</v>
      </c>
      <c r="L25" s="83">
        <f t="shared" si="20"/>
        <v>0</v>
      </c>
    </row>
    <row r="26" spans="1:12" x14ac:dyDescent="0.2">
      <c r="A26" s="3" t="str">
        <f>+A17</f>
        <v>Other</v>
      </c>
      <c r="B26" s="17">
        <f>IF('rates, dates, etc'!$O420=9,ROUND((+B17*O$78),0),ROUND((+B17*O$83*$P$89)+(B17*P$83*$P$90),0))</f>
        <v>0</v>
      </c>
      <c r="C26" s="17">
        <f>IF('rates, dates, etc'!$O420=9,ROUND((+C17*P$78),0),ROUND((+C17*P$83*$P$89)+(C17*Q$83*$P$90),0))</f>
        <v>0</v>
      </c>
      <c r="D26" s="17">
        <f>IF('rates, dates, etc'!$O420=9,ROUND((+D17*Q$78),0),ROUND((+D17*Q$83*$P$89)+(D17*R$83*$P$90),0))</f>
        <v>0</v>
      </c>
      <c r="E26" s="17">
        <f>IF('rates, dates, etc'!$O420=9,ROUND((+E17*R$78),0),ROUND((+E17*R$83*$P$89)+(E17*S$83*$P$90),0))</f>
        <v>0</v>
      </c>
      <c r="F26" s="17">
        <f>IF('rates, dates, etc'!$O420=9,ROUND((+F17*S$78),0),ROUND((+F17*S$83*$P$89)+(F17*T$83*$P$90),0))</f>
        <v>0</v>
      </c>
      <c r="G26" s="17">
        <f>IF('rates, dates, etc'!$O420=9,ROUND((+G17*T$78),0),ROUND((+G17*T$83*$P$89)+(G17*U$83*$P$90),0))</f>
        <v>0</v>
      </c>
      <c r="H26" s="17">
        <f>IF('rates, dates, etc'!$O420=9,ROUND((+H17*U$78),0),ROUND((+H17*U$83*$P$89)+(H17*V$83*$P$90),0))</f>
        <v>0</v>
      </c>
      <c r="I26" s="17">
        <f>IF('rates, dates, etc'!$O420=9,ROUND((+I17*V$78),0),ROUND((+I17*V$83*$P$89)+(I17*W$83*$P$90),0))</f>
        <v>0</v>
      </c>
      <c r="J26" s="17">
        <f>IF('rates, dates, etc'!$O420=9,ROUND((+J17*W$78),0),ROUND((+J17*W$83*$P$89)+(J17*X$83*$P$90),0))</f>
        <v>0</v>
      </c>
      <c r="K26" s="17">
        <f>IF('rates, dates, etc'!$O420=9,ROUND((+K17*X$78),0),ROUND((+K17*X$83*$P$89)+(K17*Y$83*$P$90),0))</f>
        <v>0</v>
      </c>
      <c r="L26" s="83">
        <f t="shared" si="20"/>
        <v>0</v>
      </c>
    </row>
    <row r="27" spans="1:12" ht="10.5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" si="24">SUM(E20:E26)</f>
        <v>0</v>
      </c>
      <c r="F27" s="6">
        <f t="shared" ref="F27:K27" si="25">SUM(F20:F26)</f>
        <v>0</v>
      </c>
      <c r="G27" s="6">
        <f t="shared" si="25"/>
        <v>0</v>
      </c>
      <c r="H27" s="6">
        <f t="shared" si="25"/>
        <v>0</v>
      </c>
      <c r="I27" s="6">
        <f t="shared" si="25"/>
        <v>0</v>
      </c>
      <c r="J27" s="6">
        <f t="shared" si="25"/>
        <v>0</v>
      </c>
      <c r="K27" s="6">
        <f t="shared" si="25"/>
        <v>0</v>
      </c>
      <c r="L27" s="86">
        <f>SUM(L20:L26)</f>
        <v>0</v>
      </c>
    </row>
    <row r="28" spans="1:12" ht="11" thickBot="1" x14ac:dyDescent="0.3">
      <c r="A28" s="130" t="s">
        <v>108</v>
      </c>
      <c r="B28" s="131">
        <f>+B11+B19+B27</f>
        <v>0</v>
      </c>
      <c r="C28" s="131">
        <f t="shared" ref="C28:E28" si="26">+C11+C19+C27</f>
        <v>0</v>
      </c>
      <c r="D28" s="131">
        <f t="shared" si="26"/>
        <v>0</v>
      </c>
      <c r="E28" s="131">
        <f t="shared" si="26"/>
        <v>0</v>
      </c>
      <c r="F28" s="131">
        <f t="shared" ref="F28:K28" si="27">+F11+F19+F27</f>
        <v>0</v>
      </c>
      <c r="G28" s="131">
        <f t="shared" si="27"/>
        <v>0</v>
      </c>
      <c r="H28" s="131">
        <f t="shared" si="27"/>
        <v>0</v>
      </c>
      <c r="I28" s="131">
        <f t="shared" si="27"/>
        <v>0</v>
      </c>
      <c r="J28" s="131">
        <f t="shared" si="27"/>
        <v>0</v>
      </c>
      <c r="K28" s="131">
        <f t="shared" si="27"/>
        <v>0</v>
      </c>
      <c r="L28" s="132">
        <f>SUM(B28:K28)</f>
        <v>0</v>
      </c>
    </row>
    <row r="29" spans="1:12" ht="10.5" x14ac:dyDescent="0.25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0.5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E32" si="28">SUM(D29:D31)</f>
        <v>0</v>
      </c>
      <c r="E32" s="6">
        <f t="shared" si="28"/>
        <v>0</v>
      </c>
      <c r="F32" s="6">
        <f t="shared" ref="F32:K32" si="29">SUM(F29:F31)</f>
        <v>0</v>
      </c>
      <c r="G32" s="6">
        <f t="shared" si="29"/>
        <v>0</v>
      </c>
      <c r="H32" s="6">
        <f t="shared" si="29"/>
        <v>0</v>
      </c>
      <c r="I32" s="6">
        <f t="shared" si="29"/>
        <v>0</v>
      </c>
      <c r="J32" s="6">
        <f t="shared" si="29"/>
        <v>0</v>
      </c>
      <c r="K32" s="6">
        <f t="shared" si="29"/>
        <v>0</v>
      </c>
      <c r="L32" s="86">
        <f>SUM(L29:L31)</f>
        <v>0</v>
      </c>
    </row>
    <row r="33" spans="1:16" ht="10.5" x14ac:dyDescent="0.25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0.5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E36" si="30">SUM(D33:D35)</f>
        <v>0</v>
      </c>
      <c r="E36" s="6">
        <f t="shared" si="30"/>
        <v>0</v>
      </c>
      <c r="F36" s="6">
        <f t="shared" ref="F36:K36" si="31">SUM(F33:F35)</f>
        <v>0</v>
      </c>
      <c r="G36" s="6">
        <f t="shared" si="31"/>
        <v>0</v>
      </c>
      <c r="H36" s="6">
        <f t="shared" si="31"/>
        <v>0</v>
      </c>
      <c r="I36" s="6">
        <f t="shared" si="31"/>
        <v>0</v>
      </c>
      <c r="J36" s="6">
        <f t="shared" si="31"/>
        <v>0</v>
      </c>
      <c r="K36" s="6">
        <f t="shared" si="31"/>
        <v>0</v>
      </c>
      <c r="L36" s="86">
        <f>SUM(L33:L35)</f>
        <v>0</v>
      </c>
    </row>
    <row r="37" spans="1:16" ht="10.5" x14ac:dyDescent="0.25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32">SUM(B39:K39)</f>
        <v>0</v>
      </c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32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32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32"/>
        <v>0</v>
      </c>
    </row>
    <row r="43" spans="1:16" ht="10.5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E43" si="33">SUM(D37:D42)</f>
        <v>0</v>
      </c>
      <c r="E43" s="6">
        <f t="shared" si="33"/>
        <v>0</v>
      </c>
      <c r="F43" s="6">
        <f t="shared" ref="F43:K43" si="34">SUM(F37:F42)</f>
        <v>0</v>
      </c>
      <c r="G43" s="6">
        <f t="shared" si="34"/>
        <v>0</v>
      </c>
      <c r="H43" s="6">
        <f t="shared" si="34"/>
        <v>0</v>
      </c>
      <c r="I43" s="6">
        <f t="shared" si="34"/>
        <v>0</v>
      </c>
      <c r="J43" s="6">
        <f t="shared" si="34"/>
        <v>0</v>
      </c>
      <c r="K43" s="6">
        <f t="shared" si="34"/>
        <v>0</v>
      </c>
      <c r="L43" s="86">
        <f>SUM(L37:L42)</f>
        <v>0</v>
      </c>
    </row>
    <row r="44" spans="1:16" ht="10.5" x14ac:dyDescent="0.25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183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5">SUM(B46:K46)</f>
        <v>0</v>
      </c>
    </row>
    <row r="47" spans="1:16" x14ac:dyDescent="0.2">
      <c r="A47" s="3" t="s">
        <v>15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5"/>
        <v>0</v>
      </c>
    </row>
    <row r="48" spans="1:16" x14ac:dyDescent="0.2">
      <c r="A48" s="3" t="s">
        <v>184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5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5"/>
        <v>0</v>
      </c>
    </row>
    <row r="50" spans="1:20" x14ac:dyDescent="0.2">
      <c r="A50" s="3" t="s">
        <v>148</v>
      </c>
      <c r="B50" s="78">
        <f>O70</f>
        <v>0</v>
      </c>
      <c r="C50" s="78">
        <f t="shared" ref="C50:E50" si="36">P70</f>
        <v>0</v>
      </c>
      <c r="D50" s="78">
        <f t="shared" si="36"/>
        <v>0</v>
      </c>
      <c r="E50" s="78">
        <f t="shared" si="36"/>
        <v>0</v>
      </c>
      <c r="F50" s="78">
        <f t="shared" ref="F50:F51" si="37">S70</f>
        <v>0</v>
      </c>
      <c r="G50" s="78">
        <f t="shared" ref="G50:G51" si="38">T70</f>
        <v>0</v>
      </c>
      <c r="H50" s="78">
        <f t="shared" ref="H50:H51" si="39">U70</f>
        <v>0</v>
      </c>
      <c r="I50" s="78">
        <f t="shared" ref="I50:I51" si="40">V70</f>
        <v>0</v>
      </c>
      <c r="J50" s="78">
        <f t="shared" ref="J50:J51" si="41">W70</f>
        <v>0</v>
      </c>
      <c r="K50" s="78">
        <f t="shared" ref="K50:K51" si="42">X70</f>
        <v>0</v>
      </c>
      <c r="L50" s="83">
        <f t="shared" si="35"/>
        <v>0</v>
      </c>
    </row>
    <row r="51" spans="1:20" x14ac:dyDescent="0.2">
      <c r="A51" s="3" t="s">
        <v>147</v>
      </c>
      <c r="B51" s="78">
        <f>O71</f>
        <v>0</v>
      </c>
      <c r="C51" s="78">
        <f t="shared" ref="C51:E51" si="43">P71</f>
        <v>0</v>
      </c>
      <c r="D51" s="78">
        <f t="shared" si="43"/>
        <v>0</v>
      </c>
      <c r="E51" s="78">
        <f t="shared" si="43"/>
        <v>0</v>
      </c>
      <c r="F51" s="78">
        <f t="shared" si="37"/>
        <v>0</v>
      </c>
      <c r="G51" s="78">
        <f t="shared" si="38"/>
        <v>0</v>
      </c>
      <c r="H51" s="78">
        <f t="shared" si="39"/>
        <v>0</v>
      </c>
      <c r="I51" s="78">
        <f t="shared" si="40"/>
        <v>0</v>
      </c>
      <c r="J51" s="78">
        <f t="shared" si="41"/>
        <v>0</v>
      </c>
      <c r="K51" s="78">
        <f t="shared" si="42"/>
        <v>0</v>
      </c>
      <c r="L51" s="83">
        <f t="shared" si="35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5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5"/>
        <v>0</v>
      </c>
      <c r="P53" s="1"/>
      <c r="S53" s="5"/>
      <c r="T53" s="5"/>
    </row>
    <row r="54" spans="1:20" ht="10.5" thickBot="1" x14ac:dyDescent="0.25">
      <c r="A54" s="76" t="str">
        <f>CONCATENATE("Total ",A44)</f>
        <v>Total Other Direct Costs</v>
      </c>
      <c r="B54" s="86">
        <f t="shared" ref="B54:L54" si="44">SUM(B44:B53)</f>
        <v>0</v>
      </c>
      <c r="C54" s="6">
        <f t="shared" si="44"/>
        <v>0</v>
      </c>
      <c r="D54" s="6">
        <f t="shared" si="44"/>
        <v>0</v>
      </c>
      <c r="E54" s="6">
        <f t="shared" si="44"/>
        <v>0</v>
      </c>
      <c r="F54" s="6">
        <f t="shared" ref="F54:K54" si="45">SUM(F44:F53)</f>
        <v>0</v>
      </c>
      <c r="G54" s="6">
        <f t="shared" si="45"/>
        <v>0</v>
      </c>
      <c r="H54" s="6">
        <f t="shared" si="45"/>
        <v>0</v>
      </c>
      <c r="I54" s="6">
        <f t="shared" si="45"/>
        <v>0</v>
      </c>
      <c r="J54" s="6">
        <f t="shared" si="45"/>
        <v>0</v>
      </c>
      <c r="K54" s="6">
        <f t="shared" si="45"/>
        <v>0</v>
      </c>
      <c r="L54" s="86">
        <f t="shared" si="44"/>
        <v>0</v>
      </c>
      <c r="S54" s="5"/>
      <c r="T54" s="5"/>
    </row>
    <row r="55" spans="1:20" ht="11" thickBot="1" x14ac:dyDescent="0.3">
      <c r="A55" s="82" t="s">
        <v>16</v>
      </c>
      <c r="B55" s="124">
        <f t="shared" ref="B55:L55" si="46">SUM(+B11+B19+B27+B32+B36+B43+B54)</f>
        <v>0</v>
      </c>
      <c r="C55" s="124">
        <f t="shared" si="46"/>
        <v>0</v>
      </c>
      <c r="D55" s="124">
        <f t="shared" si="46"/>
        <v>0</v>
      </c>
      <c r="E55" s="124">
        <f t="shared" si="46"/>
        <v>0</v>
      </c>
      <c r="F55" s="124">
        <f t="shared" ref="F55:K55" si="47">SUM(+F11+F19+F27+F32+F36+F43+F54)</f>
        <v>0</v>
      </c>
      <c r="G55" s="124">
        <f t="shared" si="47"/>
        <v>0</v>
      </c>
      <c r="H55" s="124">
        <f t="shared" si="47"/>
        <v>0</v>
      </c>
      <c r="I55" s="124">
        <f t="shared" si="47"/>
        <v>0</v>
      </c>
      <c r="J55" s="124">
        <f t="shared" si="47"/>
        <v>0</v>
      </c>
      <c r="K55" s="124">
        <f t="shared" si="47"/>
        <v>0</v>
      </c>
      <c r="L55" s="125">
        <f t="shared" si="46"/>
        <v>0</v>
      </c>
      <c r="S55" s="5"/>
      <c r="T55" s="5"/>
    </row>
    <row r="56" spans="1:20" ht="11" thickBot="1" x14ac:dyDescent="0.3">
      <c r="A56" s="71" t="s">
        <v>17</v>
      </c>
      <c r="B56" s="94">
        <f>+B55-(B50+B51+B43+B61+B32)</f>
        <v>0</v>
      </c>
      <c r="C56" s="94">
        <f t="shared" ref="C56:K56" si="48">+C55-(C50+C51+C43+C61+C32)</f>
        <v>0</v>
      </c>
      <c r="D56" s="94">
        <f t="shared" si="48"/>
        <v>0</v>
      </c>
      <c r="E56" s="94">
        <f t="shared" si="48"/>
        <v>0</v>
      </c>
      <c r="F56" s="94">
        <f t="shared" si="48"/>
        <v>0</v>
      </c>
      <c r="G56" s="94">
        <f t="shared" si="48"/>
        <v>0</v>
      </c>
      <c r="H56" s="94">
        <f t="shared" si="48"/>
        <v>0</v>
      </c>
      <c r="I56" s="94">
        <f t="shared" si="48"/>
        <v>0</v>
      </c>
      <c r="J56" s="94">
        <f t="shared" si="48"/>
        <v>0</v>
      </c>
      <c r="K56" s="94">
        <f t="shared" si="48"/>
        <v>0</v>
      </c>
      <c r="L56" s="81">
        <f>SUM(B56:K56)</f>
        <v>0</v>
      </c>
      <c r="M56" s="108"/>
      <c r="S56" s="5"/>
      <c r="T56" s="5"/>
    </row>
    <row r="57" spans="1:20" ht="11" thickBot="1" x14ac:dyDescent="0.3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1" thickBot="1" x14ac:dyDescent="0.3">
      <c r="A58" s="100" t="s">
        <v>19</v>
      </c>
      <c r="B58" s="128">
        <f>+B55+B57</f>
        <v>0</v>
      </c>
      <c r="C58" s="128">
        <f t="shared" ref="C58:E58" si="49">+C55+C57</f>
        <v>0</v>
      </c>
      <c r="D58" s="128">
        <f t="shared" si="49"/>
        <v>0</v>
      </c>
      <c r="E58" s="128">
        <f t="shared" si="49"/>
        <v>0</v>
      </c>
      <c r="F58" s="128">
        <f t="shared" ref="F58:K58" si="50">+F55+F57</f>
        <v>0</v>
      </c>
      <c r="G58" s="128">
        <f t="shared" si="50"/>
        <v>0</v>
      </c>
      <c r="H58" s="128">
        <f t="shared" si="50"/>
        <v>0</v>
      </c>
      <c r="I58" s="128">
        <f t="shared" si="50"/>
        <v>0</v>
      </c>
      <c r="J58" s="128">
        <f t="shared" si="50"/>
        <v>0</v>
      </c>
      <c r="K58" s="128">
        <f t="shared" si="50"/>
        <v>0</v>
      </c>
      <c r="L58" s="129">
        <f>SUM(B58:K58)</f>
        <v>0</v>
      </c>
      <c r="Q58" s="4"/>
      <c r="S58" s="5"/>
      <c r="T58" s="5"/>
    </row>
    <row r="59" spans="1:20" ht="10.5" x14ac:dyDescent="0.25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1" thickBot="1" x14ac:dyDescent="0.3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 t="shared" ref="F61:K61" si="51">+F49-IF(C49+D49+E49&gt;25000,0,IF(C49+D49+E49+F49&gt;25000,(25000-(D49+D49+E49)),F49))</f>
        <v>0</v>
      </c>
      <c r="G61" s="87">
        <f t="shared" si="51"/>
        <v>0</v>
      </c>
      <c r="H61" s="87">
        <f t="shared" si="51"/>
        <v>0</v>
      </c>
      <c r="I61" s="87">
        <f t="shared" si="51"/>
        <v>0</v>
      </c>
      <c r="J61" s="87">
        <f t="shared" si="51"/>
        <v>0</v>
      </c>
      <c r="K61" s="87">
        <f t="shared" si="51"/>
        <v>0</v>
      </c>
      <c r="L61" s="92">
        <f>SUM(B61:K61)</f>
        <v>0</v>
      </c>
    </row>
    <row r="62" spans="1:20" ht="11" thickBot="1" x14ac:dyDescent="0.3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1" thickBot="1" x14ac:dyDescent="0.3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1" thickBot="1" x14ac:dyDescent="0.3">
      <c r="A64" s="91" t="s">
        <v>109</v>
      </c>
      <c r="B64" s="93">
        <f t="shared" ref="B64:K64" si="52">ROUND((B56*O86*$P$89)+(B56*P86*$P$90),0)</f>
        <v>0</v>
      </c>
      <c r="C64" s="95">
        <f t="shared" si="52"/>
        <v>0</v>
      </c>
      <c r="D64" s="95">
        <f t="shared" si="52"/>
        <v>0</v>
      </c>
      <c r="E64" s="95">
        <f t="shared" si="52"/>
        <v>0</v>
      </c>
      <c r="F64" s="95">
        <f t="shared" si="52"/>
        <v>0</v>
      </c>
      <c r="G64" s="95">
        <f t="shared" si="52"/>
        <v>0</v>
      </c>
      <c r="H64" s="95">
        <f t="shared" si="52"/>
        <v>0</v>
      </c>
      <c r="I64" s="95">
        <f t="shared" si="52"/>
        <v>0</v>
      </c>
      <c r="J64" s="95">
        <f t="shared" si="52"/>
        <v>0</v>
      </c>
      <c r="K64" s="95">
        <f t="shared" si="52"/>
        <v>0</v>
      </c>
      <c r="L64" s="93">
        <f>SUM(B64:K64)</f>
        <v>0</v>
      </c>
    </row>
    <row r="66" spans="14:26" ht="11" thickBot="1" x14ac:dyDescent="0.3">
      <c r="N66" s="43" t="s">
        <v>71</v>
      </c>
      <c r="O66" s="9" t="str">
        <f>+'rates, dates, etc'!B79</f>
        <v>Year 1</v>
      </c>
      <c r="P66" s="9" t="str">
        <f>+'rates, dates, etc'!C79</f>
        <v>Year 2</v>
      </c>
      <c r="Q66" s="9" t="str">
        <f>+'rates, dates, etc'!D79</f>
        <v>Year 3</v>
      </c>
      <c r="R66" s="9" t="str">
        <f>+'rates, dates, etc'!E79</f>
        <v>Year 4</v>
      </c>
      <c r="S66" s="9" t="str">
        <f>+'rates, dates, etc'!F79</f>
        <v>Year 5</v>
      </c>
      <c r="T66" s="9" t="str">
        <f>+'rates, dates, etc'!G79</f>
        <v>Year 6</v>
      </c>
      <c r="U66" s="9" t="str">
        <f>+'rates, dates, etc'!H79</f>
        <v>Year 7</v>
      </c>
      <c r="V66" s="9" t="str">
        <f>+'rates, dates, etc'!I79</f>
        <v>Year 8</v>
      </c>
      <c r="W66" s="9" t="str">
        <f>+'rates, dates, etc'!J79</f>
        <v>Year 9</v>
      </c>
      <c r="X66" s="9" t="str">
        <f>+'rates, dates, etc'!K79</f>
        <v>Year 10</v>
      </c>
    </row>
    <row r="67" spans="14:26" x14ac:dyDescent="0.2">
      <c r="N67" s="14" t="s">
        <v>32</v>
      </c>
      <c r="O67" s="15">
        <f>SUM('rates, dates, etc'!S398:S400)/3</f>
        <v>0</v>
      </c>
      <c r="P67" s="15">
        <f>SUM('rates, dates, etc'!T398:T400)/3</f>
        <v>0</v>
      </c>
      <c r="Q67" s="15">
        <f>SUM('rates, dates, etc'!U398:U400)/3</f>
        <v>0</v>
      </c>
      <c r="R67" s="15">
        <f>SUM('rates, dates, etc'!V398:V400)/3</f>
        <v>0</v>
      </c>
      <c r="S67" s="15">
        <f>SUM('rates, dates, etc'!W398:W400)/3</f>
        <v>0</v>
      </c>
      <c r="T67" s="15">
        <f>SUM('rates, dates, etc'!X398:X400)/3</f>
        <v>0</v>
      </c>
      <c r="U67" s="15">
        <f>SUM('rates, dates, etc'!Y398:Y400)/3</f>
        <v>0</v>
      </c>
      <c r="V67" s="15">
        <f>SUM('rates, dates, etc'!Z398:Z400)/3</f>
        <v>0</v>
      </c>
      <c r="W67" s="15">
        <f>SUM('rates, dates, etc'!AA398:AA400)/3</f>
        <v>0</v>
      </c>
      <c r="X67" s="15">
        <f>SUM('rates, dates, etc'!AB398:AB400)/3</f>
        <v>0</v>
      </c>
    </row>
    <row r="68" spans="14:26" x14ac:dyDescent="0.2">
      <c r="N68" s="3" t="s">
        <v>145</v>
      </c>
      <c r="O68" s="4">
        <f>(SUMIF('rates, dates, etc'!$R$414:$R$422,"Stipend (Fall)",'rates, dates, etc'!S414:S422))+
(SUMIF('rates, dates, etc'!$R$414:$R$422,"Stipend (Spring)",'rates, dates, etc'!S414:S422))</f>
        <v>0</v>
      </c>
      <c r="P68" s="4">
        <f>(SUMIF('rates, dates, etc'!$R$414:$R$422,"Stipend (Fall)",'rates, dates, etc'!T414:T422))+
(SUMIF('rates, dates, etc'!$R$414:$R$422,"Stipend (Spring)",'rates, dates, etc'!T414:T422))</f>
        <v>0</v>
      </c>
      <c r="Q68" s="4">
        <f>(SUMIF('rates, dates, etc'!$R$414:$R$422,"Stipend (Fall)",'rates, dates, etc'!U414:U422))+
(SUMIF('rates, dates, etc'!$R$414:$R$422,"Stipend (Spring)",'rates, dates, etc'!U414:U422))</f>
        <v>0</v>
      </c>
      <c r="R68" s="4">
        <f>(SUMIF('rates, dates, etc'!$R$414:$R$422,"Stipend (Fall)",'rates, dates, etc'!V414:V422))+
(SUMIF('rates, dates, etc'!$R$414:$R$422,"Stipend (Spring)",'rates, dates, etc'!V414:V422))</f>
        <v>0</v>
      </c>
      <c r="S68" s="4">
        <f>(SUMIF('rates, dates, etc'!$R$414:$R$422,"Stipend (Fall)",'rates, dates, etc'!W414:W422))+
(SUMIF('rates, dates, etc'!$R$414:$R$422,"Stipend (Spring)",'rates, dates, etc'!W414:W422))</f>
        <v>0</v>
      </c>
      <c r="T68" s="4">
        <f>(SUMIF('rates, dates, etc'!$R$414:$R$422,"Stipend (Fall)",'rates, dates, etc'!X414:X422))+
(SUMIF('rates, dates, etc'!$R$414:$R$422,"Stipend (Spring)",'rates, dates, etc'!X414:X422))</f>
        <v>0</v>
      </c>
      <c r="U68" s="4">
        <f>(SUMIF('rates, dates, etc'!$R$414:$R$422,"Stipend (Fall)",'rates, dates, etc'!Y414:Y422))+
(SUMIF('rates, dates, etc'!$R$414:$R$422,"Stipend (Spring)",'rates, dates, etc'!Y414:Y422))</f>
        <v>0</v>
      </c>
      <c r="V68" s="4">
        <f>(SUMIF('rates, dates, etc'!$R$414:$R$422,"Stipend (Fall)",'rates, dates, etc'!Z414:Z422))+
(SUMIF('rates, dates, etc'!$R$414:$R$422,"Stipend (Spring)",'rates, dates, etc'!Z414:Z422))</f>
        <v>0</v>
      </c>
      <c r="W68" s="4">
        <f>(SUMIF('rates, dates, etc'!$R$414:$R$422,"Stipend (Fall)",'rates, dates, etc'!AA414:AA422))+
(SUMIF('rates, dates, etc'!$R$414:$R$422,"Stipend (Spring)",'rates, dates, etc'!AA414:AA422))</f>
        <v>0</v>
      </c>
      <c r="X68" s="4">
        <f>(SUMIF('rates, dates, etc'!$R$414:$R$422,"Stipend (Fall)",'rates, dates, etc'!AB414:AB422))+
(SUMIF('rates, dates, etc'!$R$414:$R$422,"Stipend (Spring)",'rates, dates, etc'!AB414:AB422))</f>
        <v>0</v>
      </c>
    </row>
    <row r="69" spans="14:26" x14ac:dyDescent="0.2">
      <c r="N69" s="3" t="s">
        <v>146</v>
      </c>
      <c r="O69" s="4">
        <f>(SUMIF('rates, dates, etc'!$R$414:$R$422,"Stipend (Summer)",'rates, dates, etc'!S414:S422))</f>
        <v>0</v>
      </c>
      <c r="P69" s="4">
        <f>(SUMIF('rates, dates, etc'!$R$414:$R$422,"Stipend (Summer)",'rates, dates, etc'!T414:T422))</f>
        <v>0</v>
      </c>
      <c r="Q69" s="4">
        <f>(SUMIF('rates, dates, etc'!$R$414:$R$422,"Stipend (Summer)",'rates, dates, etc'!U414:U422))</f>
        <v>0</v>
      </c>
      <c r="R69" s="4">
        <f>(SUMIF('rates, dates, etc'!$R$414:$R$422,"Stipend (Summer)",'rates, dates, etc'!V414:V422))</f>
        <v>0</v>
      </c>
      <c r="S69" s="4">
        <f>(SUMIF('rates, dates, etc'!$R$414:$R$422,"Stipend (Summer)",'rates, dates, etc'!W414:W422))</f>
        <v>0</v>
      </c>
      <c r="T69" s="4">
        <f>(SUMIF('rates, dates, etc'!$R$414:$R$422,"Stipend (Summer)",'rates, dates, etc'!X414:X422))</f>
        <v>0</v>
      </c>
      <c r="U69" s="4">
        <f>(SUMIF('rates, dates, etc'!$R$414:$R$422,"Stipend (Summer)",'rates, dates, etc'!Y414:Y422))</f>
        <v>0</v>
      </c>
      <c r="V69" s="4">
        <f>(SUMIF('rates, dates, etc'!$R$414:$R$422,"Stipend (Summer)",'rates, dates, etc'!Z414:Z422))</f>
        <v>0</v>
      </c>
      <c r="W69" s="4">
        <f>(SUMIF('rates, dates, etc'!$R$414:$R$422,"Stipend (Summer)",'rates, dates, etc'!AA414:AA422))</f>
        <v>0</v>
      </c>
      <c r="X69" s="4">
        <f>(SUMIF('rates, dates, etc'!$R$414:$R$422,"Stipend (Summer)",'rates, dates, etc'!AB414:AB422))</f>
        <v>0</v>
      </c>
    </row>
    <row r="70" spans="14:26" x14ac:dyDescent="0.2">
      <c r="N70" s="3" t="s">
        <v>8</v>
      </c>
      <c r="O70" s="4">
        <f>(SUMIF('rates, dates, etc'!$R$414:$R$422,"Tuition (Fall)",'rates, dates, etc'!S414:S422))+
(SUMIF('rates, dates, etc'!$R$414:$R$422,"Tuition (Spring)",'rates, dates, etc'!S414:S422))+
(SUMIF('rates, dates, etc'!$R$414:$R$422,"Tuition (Summer)",'rates, dates, etc'!S414:S422))</f>
        <v>0</v>
      </c>
      <c r="P70" s="4">
        <f>(SUMIF('rates, dates, etc'!$R$414:$R$422,"Tuition (Fall)",'rates, dates, etc'!T414:T422))+
(SUMIF('rates, dates, etc'!$R$414:$R$422,"Tuition (Spring)",'rates, dates, etc'!T414:T422))+
(SUMIF('rates, dates, etc'!$R$414:$R$422,"Tuition (Summer)",'rates, dates, etc'!T414:T422))</f>
        <v>0</v>
      </c>
      <c r="Q70" s="4">
        <f>(SUMIF('rates, dates, etc'!$R$414:$R$422,"Tuition (Fall)",'rates, dates, etc'!U414:U422))+
(SUMIF('rates, dates, etc'!$R$414:$R$422,"Tuition (Spring)",'rates, dates, etc'!U414:U422))+
(SUMIF('rates, dates, etc'!$R$414:$R$422,"Tuition (Summer)",'rates, dates, etc'!U414:U422))</f>
        <v>0</v>
      </c>
      <c r="R70" s="4">
        <f>(SUMIF('rates, dates, etc'!$R$414:$R$422,"Tuition (Fall)",'rates, dates, etc'!V414:V422))+
(SUMIF('rates, dates, etc'!$R$414:$R$422,"Tuition (Spring)",'rates, dates, etc'!V414:V422))+
(SUMIF('rates, dates, etc'!$R$414:$R$422,"Tuition (Summer)",'rates, dates, etc'!V414:V422))</f>
        <v>0</v>
      </c>
      <c r="S70" s="4">
        <f>(SUMIF('rates, dates, etc'!$R$414:$R$422,"Tuition (Fall)",'rates, dates, etc'!W414:W422))+
(SUMIF('rates, dates, etc'!$R$414:$R$422,"Tuition (Spring)",'rates, dates, etc'!W414:W422))+
(SUMIF('rates, dates, etc'!$R$414:$R$422,"Tuition (Summer)",'rates, dates, etc'!W414:W422))</f>
        <v>0</v>
      </c>
      <c r="T70" s="4">
        <f>(SUMIF('rates, dates, etc'!$R$414:$R$422,"Tuition (Fall)",'rates, dates, etc'!X414:X422))+
(SUMIF('rates, dates, etc'!$R$414:$R$422,"Tuition (Spring)",'rates, dates, etc'!X414:X422))+
(SUMIF('rates, dates, etc'!$R$414:$R$422,"Tuition (Summer)",'rates, dates, etc'!X414:X422))</f>
        <v>0</v>
      </c>
      <c r="U70" s="4">
        <f>(SUMIF('rates, dates, etc'!$R$414:$R$422,"Tuition (Fall)",'rates, dates, etc'!Y414:Y422))+
(SUMIF('rates, dates, etc'!$R$414:$R$422,"Tuition (Spring)",'rates, dates, etc'!Y414:Y422))+
(SUMIF('rates, dates, etc'!$R$414:$R$422,"Tuition (Summer)",'rates, dates, etc'!Y414:Y422))</f>
        <v>0</v>
      </c>
      <c r="V70" s="4">
        <f>(SUMIF('rates, dates, etc'!$R$414:$R$422,"Tuition (Fall)",'rates, dates, etc'!Z414:Z422))+
(SUMIF('rates, dates, etc'!$R$414:$R$422,"Tuition (Spring)",'rates, dates, etc'!Z414:Z422))+
(SUMIF('rates, dates, etc'!$R$414:$R$422,"Tuition (Summer)",'rates, dates, etc'!Z414:Z422))</f>
        <v>0</v>
      </c>
      <c r="W70" s="4">
        <f>(SUMIF('rates, dates, etc'!$R$414:$R$422,"Tuition (Fall)",'rates, dates, etc'!AA414:AA422))+
(SUMIF('rates, dates, etc'!$R$414:$R$422,"Tuition (Spring)",'rates, dates, etc'!AA414:AA422))+
(SUMIF('rates, dates, etc'!$R$414:$R$422,"Tuition (Summer)",'rates, dates, etc'!AA414:AA422))</f>
        <v>0</v>
      </c>
      <c r="X70" s="4">
        <f>(SUMIF('rates, dates, etc'!$R$414:$R$422,"Tuition (Fall)",'rates, dates, etc'!AB414:AB422))+
(SUMIF('rates, dates, etc'!$R$414:$R$422,"Tuition (Spring)",'rates, dates, etc'!AB414:AB422))+
(SUMIF('rates, dates, etc'!$R$414:$R$422,"Tuition (Summer)",'rates, dates, etc'!AB414:AB422))</f>
        <v>0</v>
      </c>
    </row>
    <row r="71" spans="14:26" x14ac:dyDescent="0.2">
      <c r="N71" s="3" t="s">
        <v>9</v>
      </c>
      <c r="O71" s="4">
        <f>(SUMIF('rates, dates, etc'!$R$414:$R$422,"Health Insurance (Fall)",'rates, dates, etc'!S414:S422))+
(SUMIF('rates, dates, etc'!$R$414:$R$422,"Health Insurance (Spring)",'rates, dates, etc'!S414:S422))+
(SUMIF('rates, dates, etc'!$R$414:$R$422,"Health Insurance (Summer)",'rates, dates, etc'!S414:S422))</f>
        <v>0</v>
      </c>
      <c r="P71" s="4">
        <f>(SUMIF('rates, dates, etc'!$R$414:$R$422,"Health Insurance (Fall)",'rates, dates, etc'!T414:T422))+
(SUMIF('rates, dates, etc'!$R$414:$R$422,"Health Insurance (Spring)",'rates, dates, etc'!T414:T422))+
(SUMIF('rates, dates, etc'!$R$414:$R$422,"Health Insurance (Summer)",'rates, dates, etc'!T414:T422))</f>
        <v>0</v>
      </c>
      <c r="Q71" s="4">
        <f>(SUMIF('rates, dates, etc'!$R$414:$R$422,"Health Insurance (Fall)",'rates, dates, etc'!U414:U422))+
(SUMIF('rates, dates, etc'!$R$414:$R$422,"Health Insurance (Spring)",'rates, dates, etc'!U414:U422))+
(SUMIF('rates, dates, etc'!$R$414:$R$422,"Health Insurance (Summer)",'rates, dates, etc'!U414:U422))</f>
        <v>0</v>
      </c>
      <c r="R71" s="4">
        <f>(SUMIF('rates, dates, etc'!$R$414:$R$422,"Health Insurance (Fall)",'rates, dates, etc'!V414:V422))+
(SUMIF('rates, dates, etc'!$R$414:$R$422,"Health Insurance (Spring)",'rates, dates, etc'!V414:V422))+
(SUMIF('rates, dates, etc'!$R$414:$R$422,"Health Insurance (Summer)",'rates, dates, etc'!V414:V422))</f>
        <v>0</v>
      </c>
      <c r="S71" s="4">
        <f>(SUMIF('rates, dates, etc'!$R$414:$R$422,"Health Insurance (Fall)",'rates, dates, etc'!W414:W422))+
(SUMIF('rates, dates, etc'!$R$414:$R$422,"Health Insurance (Spring)",'rates, dates, etc'!W414:W422))+
(SUMIF('rates, dates, etc'!$R$414:$R$422,"Health Insurance (Summer)",'rates, dates, etc'!W414:W422))</f>
        <v>0</v>
      </c>
      <c r="T71" s="4">
        <f>(SUMIF('rates, dates, etc'!$R$414:$R$422,"Health Insurance (Fall)",'rates, dates, etc'!X414:X422))+
(SUMIF('rates, dates, etc'!$R$414:$R$422,"Health Insurance (Spring)",'rates, dates, etc'!X414:X422))+
(SUMIF('rates, dates, etc'!$R$414:$R$422,"Health Insurance (Summer)",'rates, dates, etc'!X414:X422))</f>
        <v>0</v>
      </c>
      <c r="U71" s="4">
        <f>(SUMIF('rates, dates, etc'!$R$414:$R$422,"Health Insurance (Fall)",'rates, dates, etc'!Y414:Y422))+
(SUMIF('rates, dates, etc'!$R$414:$R$422,"Health Insurance (Spring)",'rates, dates, etc'!Y414:Y422))+
(SUMIF('rates, dates, etc'!$R$414:$R$422,"Health Insurance (Summer)",'rates, dates, etc'!Y414:Y422))</f>
        <v>0</v>
      </c>
      <c r="V71" s="4">
        <f>(SUMIF('rates, dates, etc'!$R$414:$R$422,"Health Insurance (Fall)",'rates, dates, etc'!Z414:Z422))+
(SUMIF('rates, dates, etc'!$R$414:$R$422,"Health Insurance (Spring)",'rates, dates, etc'!Z414:Z422))+
(SUMIF('rates, dates, etc'!$R$414:$R$422,"Health Insurance (Summer)",'rates, dates, etc'!Z414:Z422))</f>
        <v>0</v>
      </c>
      <c r="W71" s="4">
        <f>(SUMIF('rates, dates, etc'!$R$414:$R$422,"Health Insurance (Fall)",'rates, dates, etc'!AA414:AA422))+
(SUMIF('rates, dates, etc'!$R$414:$R$422,"Health Insurance (Spring)",'rates, dates, etc'!AA414:AA422))+
(SUMIF('rates, dates, etc'!$R$414:$R$422,"Health Insurance (Summer)",'rates, dates, etc'!AA414:AA422))</f>
        <v>0</v>
      </c>
      <c r="X71" s="4">
        <f>(SUMIF('rates, dates, etc'!$R$414:$R$422,"Health Insurance (Fall)",'rates, dates, etc'!AB414:AB422))+
(SUMIF('rates, dates, etc'!$R$414:$R$422,"Health Insurance (Spring)",'rates, dates, etc'!AB414:AB422))+
(SUMIF('rates, dates, etc'!$R$414:$R$422,"Health Insurance (Summer)",'rates, dates, etc'!AB414:AB422))</f>
        <v>0</v>
      </c>
    </row>
    <row r="72" spans="14:26" ht="10.5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X72" si="53">SUM(T68:T71)</f>
        <v>0</v>
      </c>
      <c r="U72" s="16">
        <f t="shared" si="53"/>
        <v>0</v>
      </c>
      <c r="V72" s="16">
        <f t="shared" si="53"/>
        <v>0</v>
      </c>
      <c r="W72" s="16">
        <f t="shared" si="53"/>
        <v>0</v>
      </c>
      <c r="X72" s="16">
        <f t="shared" si="53"/>
        <v>0</v>
      </c>
    </row>
    <row r="76" spans="14:26" x14ac:dyDescent="0.2">
      <c r="N76" s="44" t="s">
        <v>33</v>
      </c>
    </row>
    <row r="77" spans="14:26" ht="10.5" x14ac:dyDescent="0.25">
      <c r="N77" s="64" t="s">
        <v>103</v>
      </c>
      <c r="O77" s="65" t="str">
        <f>+'rates, dates, etc'!AE5</f>
        <v>FY2024</v>
      </c>
      <c r="P77" s="65" t="str">
        <f>+'rates, dates, etc'!AF5</f>
        <v>FY2025</v>
      </c>
      <c r="Q77" s="65" t="str">
        <f>+'rates, dates, etc'!AG5</f>
        <v>FY2026</v>
      </c>
      <c r="R77" s="65" t="str">
        <f>+'rates, dates, etc'!AH5</f>
        <v>FY2027</v>
      </c>
      <c r="S77" s="65" t="str">
        <f>+'rates, dates, etc'!AI5</f>
        <v>FY2028</v>
      </c>
      <c r="T77" s="65" t="str">
        <f>+'rates, dates, etc'!AJ5</f>
        <v>FY2029</v>
      </c>
      <c r="U77" s="65" t="str">
        <f>+'rates, dates, etc'!AK5</f>
        <v>FY2030</v>
      </c>
      <c r="V77" s="65" t="str">
        <f>+'rates, dates, etc'!AL5</f>
        <v>FY2031</v>
      </c>
      <c r="W77" s="65" t="str">
        <f>+'rates, dates, etc'!AM5</f>
        <v>FY2032</v>
      </c>
      <c r="X77" s="65" t="str">
        <f>+'rates, dates, etc'!AN5</f>
        <v>FY2033</v>
      </c>
      <c r="Y77" s="65" t="str">
        <f>+'rates, dates, etc'!AO5</f>
        <v>FY2034</v>
      </c>
      <c r="Z77" s="65"/>
    </row>
    <row r="78" spans="14:26" x14ac:dyDescent="0.2">
      <c r="N78" s="2" t="str">
        <f>+'rates, dates, etc'!A356</f>
        <v xml:space="preserve">   Endowed - Senior Personnel</v>
      </c>
      <c r="O78" s="9">
        <f>IF('rates, dates, etc'!B355='rates, dates, etc'!AE5,'rates, dates, etc'!B356,'rates, dates, etc'!C356)</f>
        <v>0.37</v>
      </c>
      <c r="P78" s="9">
        <f>IF('rates, dates, etc'!C355='rates, dates, etc'!AF5,'rates, dates, etc'!C356,'rates, dates, etc'!D356)</f>
        <v>0.37</v>
      </c>
      <c r="Q78" s="9">
        <f>IF('rates, dates, etc'!D355='rates, dates, etc'!AG5,'rates, dates, etc'!D356,'rates, dates, etc'!E356)</f>
        <v>0.37</v>
      </c>
      <c r="R78" s="9">
        <f>IF('rates, dates, etc'!E355='rates, dates, etc'!AH5,'rates, dates, etc'!E356,'rates, dates, etc'!F356)</f>
        <v>0.37</v>
      </c>
      <c r="S78" s="9">
        <f>IF('rates, dates, etc'!F355='rates, dates, etc'!AI5,'rates, dates, etc'!F356,'rates, dates, etc'!G356)</f>
        <v>0.37</v>
      </c>
      <c r="T78" s="9">
        <f>IF('rates, dates, etc'!G355='rates, dates, etc'!AJ5,'rates, dates, etc'!G356,'rates, dates, etc'!H356)</f>
        <v>0.37</v>
      </c>
      <c r="U78" s="9">
        <f>IF('rates, dates, etc'!H355='rates, dates, etc'!AK5,'rates, dates, etc'!H356,'rates, dates, etc'!I356)</f>
        <v>0.37</v>
      </c>
      <c r="V78" s="9">
        <f>IF('rates, dates, etc'!I355='rates, dates, etc'!AL5,'rates, dates, etc'!I356,'rates, dates, etc'!J356)</f>
        <v>0.37</v>
      </c>
      <c r="W78" s="9">
        <f>IF('rates, dates, etc'!J355='rates, dates, etc'!AM5,'rates, dates, etc'!J356,'rates, dates, etc'!K356)</f>
        <v>0.37</v>
      </c>
      <c r="X78" s="9">
        <f>IF('rates, dates, etc'!K355='rates, dates, etc'!AN5,'rates, dates, etc'!K356,'rates, dates, etc'!L356)</f>
        <v>0.37</v>
      </c>
      <c r="Y78" s="9">
        <f>IF('rates, dates, etc'!L355='rates, dates, etc'!AO5,'rates, dates, etc'!L356,'rates, dates, etc'!M356)</f>
        <v>0.37</v>
      </c>
      <c r="Z78" s="9"/>
    </row>
    <row r="79" spans="14:26" x14ac:dyDescent="0.2">
      <c r="O79" s="1"/>
      <c r="P79" s="1"/>
    </row>
    <row r="80" spans="14:26" ht="10.5" x14ac:dyDescent="0.25">
      <c r="N80" s="64" t="s">
        <v>104</v>
      </c>
      <c r="O80" s="45" t="str">
        <f>+'rates, dates, etc'!AE4</f>
        <v>FY2024</v>
      </c>
      <c r="P80" s="45" t="str">
        <f>+'rates, dates, etc'!AF4</f>
        <v>FY2025</v>
      </c>
      <c r="Q80" s="45" t="str">
        <f>+'rates, dates, etc'!AG4</f>
        <v>FY2026</v>
      </c>
      <c r="R80" s="45" t="str">
        <f>+'rates, dates, etc'!AH4</f>
        <v>FY2027</v>
      </c>
      <c r="S80" s="45" t="str">
        <f>+'rates, dates, etc'!AI4</f>
        <v>FY2028</v>
      </c>
      <c r="T80" s="45" t="str">
        <f>+'rates, dates, etc'!AJ4</f>
        <v>FY2029</v>
      </c>
      <c r="U80" s="45" t="str">
        <f>+'rates, dates, etc'!AK4</f>
        <v>FY2030</v>
      </c>
      <c r="V80" s="45" t="str">
        <f>+'rates, dates, etc'!AL4</f>
        <v>FY2031</v>
      </c>
      <c r="W80" s="45" t="str">
        <f>+'rates, dates, etc'!AM4</f>
        <v>FY2032</v>
      </c>
      <c r="X80" s="45" t="str">
        <f>+'rates, dates, etc'!AN4</f>
        <v>FY2033</v>
      </c>
      <c r="Y80" s="45" t="str">
        <f>+'rates, dates, etc'!AO4</f>
        <v>FY2034</v>
      </c>
      <c r="Z80" s="45" t="str">
        <f>+'rates, dates, etc'!AP4</f>
        <v>FY2035</v>
      </c>
    </row>
    <row r="81" spans="14:26" x14ac:dyDescent="0.2">
      <c r="N81" s="2" t="str">
        <f>+'rates, dates, etc'!A356</f>
        <v xml:space="preserve">   Endowed - Senior Personnel</v>
      </c>
      <c r="O81" s="123">
        <f>+'rates, dates, etc'!B356</f>
        <v>0.37</v>
      </c>
      <c r="P81" s="123">
        <f>+'rates, dates, etc'!C356</f>
        <v>0.37</v>
      </c>
      <c r="Q81" s="123">
        <f>+'rates, dates, etc'!D356</f>
        <v>0.37</v>
      </c>
      <c r="R81" s="123">
        <f>+'rates, dates, etc'!E356</f>
        <v>0.37</v>
      </c>
      <c r="S81" s="123">
        <f>+'rates, dates, etc'!F356</f>
        <v>0.37</v>
      </c>
      <c r="T81" s="123">
        <f>+'rates, dates, etc'!G356</f>
        <v>0.37</v>
      </c>
      <c r="U81" s="123">
        <f>+'rates, dates, etc'!H356</f>
        <v>0.37</v>
      </c>
      <c r="V81" s="123">
        <f>+'rates, dates, etc'!I356</f>
        <v>0.37</v>
      </c>
      <c r="W81" s="123">
        <f>+'rates, dates, etc'!J356</f>
        <v>0.37</v>
      </c>
      <c r="X81" s="123">
        <f>+'rates, dates, etc'!K356</f>
        <v>0.37</v>
      </c>
      <c r="Y81" s="123">
        <f>+'rates, dates, etc'!L356</f>
        <v>0.37</v>
      </c>
      <c r="Z81" s="123">
        <f>+'rates, dates, etc'!M356</f>
        <v>0.37</v>
      </c>
    </row>
    <row r="82" spans="14:26" x14ac:dyDescent="0.2">
      <c r="N82" s="2" t="str">
        <f>+'rates, dates, etc'!A357</f>
        <v xml:space="preserve">   Endowed - Post Doc</v>
      </c>
      <c r="O82" s="123">
        <f>+'rates, dates, etc'!B357</f>
        <v>0.37</v>
      </c>
      <c r="P82" s="123">
        <f>+'rates, dates, etc'!C357</f>
        <v>0.37</v>
      </c>
      <c r="Q82" s="123">
        <f>+'rates, dates, etc'!D357</f>
        <v>0.37</v>
      </c>
      <c r="R82" s="123">
        <f>+'rates, dates, etc'!E357</f>
        <v>0.37</v>
      </c>
      <c r="S82" s="123">
        <f>+'rates, dates, etc'!F357</f>
        <v>0.37</v>
      </c>
      <c r="T82" s="123">
        <f>+'rates, dates, etc'!G357</f>
        <v>0.37</v>
      </c>
      <c r="U82" s="123">
        <f>+'rates, dates, etc'!H357</f>
        <v>0.37</v>
      </c>
      <c r="V82" s="123">
        <f>+'rates, dates, etc'!I357</f>
        <v>0.37</v>
      </c>
      <c r="W82" s="123">
        <f>+'rates, dates, etc'!J357</f>
        <v>0.37</v>
      </c>
      <c r="X82" s="123">
        <f>+'rates, dates, etc'!K357</f>
        <v>0.37</v>
      </c>
      <c r="Y82" s="123">
        <f>+'rates, dates, etc'!L357</f>
        <v>0.37</v>
      </c>
      <c r="Z82" s="123">
        <f>+'rates, dates, etc'!M357</f>
        <v>0.37</v>
      </c>
    </row>
    <row r="83" spans="14:26" x14ac:dyDescent="0.2">
      <c r="N83" s="2" t="str">
        <f>+'rates, dates, etc'!A358</f>
        <v xml:space="preserve">   Endowed - Other Employee</v>
      </c>
      <c r="O83" s="123">
        <f>+'rates, dates, etc'!B358</f>
        <v>0.37</v>
      </c>
      <c r="P83" s="123">
        <f>+'rates, dates, etc'!C358</f>
        <v>0.37</v>
      </c>
      <c r="Q83" s="123">
        <f>+'rates, dates, etc'!D358</f>
        <v>0.37</v>
      </c>
      <c r="R83" s="123">
        <f>+'rates, dates, etc'!E358</f>
        <v>0.37</v>
      </c>
      <c r="S83" s="123">
        <f>+'rates, dates, etc'!F358</f>
        <v>0.37</v>
      </c>
      <c r="T83" s="123">
        <f>+'rates, dates, etc'!G358</f>
        <v>0.37</v>
      </c>
      <c r="U83" s="123">
        <f>+'rates, dates, etc'!H358</f>
        <v>0.37</v>
      </c>
      <c r="V83" s="123">
        <f>+'rates, dates, etc'!I358</f>
        <v>0.37</v>
      </c>
      <c r="W83" s="123">
        <f>+'rates, dates, etc'!J358</f>
        <v>0.37</v>
      </c>
      <c r="X83" s="123">
        <f>+'rates, dates, etc'!K358</f>
        <v>0.37</v>
      </c>
      <c r="Y83" s="123">
        <f>+'rates, dates, etc'!L358</f>
        <v>0.37</v>
      </c>
      <c r="Z83" s="123">
        <f>+'rates, dates, etc'!M358</f>
        <v>0.37</v>
      </c>
    </row>
    <row r="85" spans="14:26" ht="10.5" x14ac:dyDescent="0.25">
      <c r="N85" s="64" t="str">
        <f>+'rates, dates, etc'!A36</f>
        <v/>
      </c>
      <c r="O85" s="1" t="str">
        <f>+'rates, dates, etc'!B36</f>
        <v/>
      </c>
      <c r="P85" s="1" t="str">
        <f>+'rates, dates, etc'!C36</f>
        <v/>
      </c>
      <c r="Q85" s="1" t="str">
        <f>+'rates, dates, etc'!D36</f>
        <v/>
      </c>
      <c r="R85" s="1" t="str">
        <f>+'rates, dates, etc'!E36</f>
        <v/>
      </c>
      <c r="S85" s="1" t="str">
        <f>+'rates, dates, etc'!F36</f>
        <v/>
      </c>
      <c r="T85" s="1" t="str">
        <f>+'rates, dates, etc'!G36</f>
        <v/>
      </c>
      <c r="U85" s="1" t="str">
        <f>+'rates, dates, etc'!H36</f>
        <v/>
      </c>
      <c r="V85" s="1" t="str">
        <f>+'rates, dates, etc'!I36</f>
        <v/>
      </c>
      <c r="W85" s="1" t="str">
        <f>+'rates, dates, etc'!J36</f>
        <v/>
      </c>
      <c r="X85" s="1" t="str">
        <f>+'rates, dates, etc'!K36</f>
        <v/>
      </c>
      <c r="Y85" s="1" t="str">
        <f>+'rates, dates, etc'!L36</f>
        <v/>
      </c>
      <c r="Z85" s="1" t="str">
        <f>+'rates, dates, etc'!M36</f>
        <v/>
      </c>
    </row>
    <row r="86" spans="14:26" ht="10.5" x14ac:dyDescent="0.25">
      <c r="N86" s="64" t="str">
        <f>+'rates, dates, etc'!A359</f>
        <v>Cornell IDC Rate - Endowed College</v>
      </c>
      <c r="O86" s="1">
        <f>+'rates, dates, etc'!B359</f>
        <v>0.64</v>
      </c>
      <c r="P86" s="1">
        <f>+'rates, dates, etc'!C359</f>
        <v>0.64</v>
      </c>
      <c r="Q86" s="1">
        <f>+'rates, dates, etc'!D359</f>
        <v>0.64</v>
      </c>
      <c r="R86" s="1">
        <f>+'rates, dates, etc'!E359</f>
        <v>0.64</v>
      </c>
      <c r="S86" s="1">
        <f>+'rates, dates, etc'!F359</f>
        <v>0.64</v>
      </c>
      <c r="T86" s="1">
        <f>+'rates, dates, etc'!G359</f>
        <v>0.64</v>
      </c>
      <c r="U86" s="1">
        <f>+'rates, dates, etc'!H359</f>
        <v>0.64</v>
      </c>
      <c r="V86" s="1">
        <f>+'rates, dates, etc'!I359</f>
        <v>0.64</v>
      </c>
      <c r="W86" s="1">
        <f>+'rates, dates, etc'!J359</f>
        <v>0.64</v>
      </c>
      <c r="X86" s="1">
        <f>+'rates, dates, etc'!K359</f>
        <v>0.64</v>
      </c>
      <c r="Y86" s="1">
        <f>+'rates, dates, etc'!L359</f>
        <v>0.64</v>
      </c>
      <c r="Z86" s="1">
        <f>+'rates, dates, etc'!M359</f>
        <v>0.64</v>
      </c>
    </row>
    <row r="87" spans="14:26" x14ac:dyDescent="0.2">
      <c r="S87" s="5"/>
      <c r="T87" s="5"/>
    </row>
    <row r="88" spans="14:26" ht="10.5" x14ac:dyDescent="0.25">
      <c r="N88" s="47" t="str">
        <f>+'rates, dates, etc'!O34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etc'!P35</f>
        <v>12</v>
      </c>
      <c r="P89" s="44">
        <f>+'rates, dates, etc'!Q35</f>
        <v>1</v>
      </c>
      <c r="S89" s="5"/>
      <c r="T89" s="5"/>
    </row>
    <row r="90" spans="14:26" x14ac:dyDescent="0.2">
      <c r="N90" s="48" t="s">
        <v>47</v>
      </c>
      <c r="O90" s="44">
        <f>+'rates, dates, etc'!P36</f>
        <v>0</v>
      </c>
      <c r="P90" s="44">
        <f>+'rates, dates, etc'!Q36</f>
        <v>0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  <row r="93" spans="14:26" x14ac:dyDescent="0.2">
      <c r="N93" s="1"/>
      <c r="O93" s="1"/>
      <c r="P93" s="1"/>
    </row>
    <row r="94" spans="14:26" x14ac:dyDescent="0.2">
      <c r="N94" s="1"/>
      <c r="O94" s="1"/>
      <c r="P94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D35D453-3254-4BA9-9095-0F29D9C3C534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2" id="{12EB2368-D012-4863-9BDF-A5B26530D6EE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7B40B475-70F1-4960-89D6-75EBFA13E9C3}">
            <xm:f>'rates, dates, etc'!$B$8="Yes"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1" stopIfTrue="1" id="{2318477A-D934-40C3-AF23-73BCAABDBA2E}">
            <xm:f>'rates, dates, etc'!$B$8="Yes"</xm:f>
            <x14:dxf/>
          </x14:cfRule>
          <xm:sqref>A63:L63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Z92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11" style="2" customWidth="1"/>
    <col min="14" max="14" width="29.1796875" style="2" customWidth="1"/>
    <col min="15" max="16" width="9.81640625" style="2" customWidth="1"/>
    <col min="17" max="18" width="9.7265625" style="1" customWidth="1"/>
    <col min="19" max="16384" width="9.1796875" style="1"/>
  </cols>
  <sheetData>
    <row r="1" spans="1:13" ht="13" x14ac:dyDescent="0.3">
      <c r="A1" s="67">
        <f>+'rates, dates, etc'!B4</f>
        <v>0</v>
      </c>
      <c r="D1" s="56"/>
    </row>
    <row r="2" spans="1:13" ht="13" x14ac:dyDescent="0.3">
      <c r="A2" s="67" t="str">
        <f>+'rates, dates, etc'!B3</f>
        <v>NSF</v>
      </c>
      <c r="M2" s="56"/>
    </row>
    <row r="3" spans="1:13" ht="12.75" customHeight="1" thickBot="1" x14ac:dyDescent="0.25"/>
    <row r="4" spans="1:13" ht="10.5" x14ac:dyDescent="0.25">
      <c r="A4" s="68" t="str">
        <f ca="1">CONCATENATE("Cornell University - ",'rates, dates, etc'!A19)</f>
        <v>Cornell University - Co-PI Budget (5)</v>
      </c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3" ht="11" thickBot="1" x14ac:dyDescent="0.3">
      <c r="A5" s="68" t="str">
        <f>CONCATENATE("Co-PI: ",'rates, dates, etc'!B19)</f>
        <v>Co-PI: Co-PI</v>
      </c>
      <c r="B5" s="243">
        <f>+'rates, dates, etc'!B5</f>
        <v>45108</v>
      </c>
      <c r="C5" s="243">
        <f>+B6+1</f>
        <v>45474</v>
      </c>
      <c r="D5" s="243">
        <f t="shared" ref="D5:G5" si="0">+C6+1</f>
        <v>45839</v>
      </c>
      <c r="E5" s="243">
        <f t="shared" si="0"/>
        <v>46204</v>
      </c>
      <c r="F5" s="243">
        <f t="shared" si="0"/>
        <v>46569</v>
      </c>
      <c r="G5" s="243">
        <f t="shared" si="0"/>
        <v>46935</v>
      </c>
      <c r="H5" s="243">
        <f t="shared" ref="H5" si="1">+G6+1</f>
        <v>47300</v>
      </c>
      <c r="I5" s="243">
        <f t="shared" ref="I5" si="2">+H6+1</f>
        <v>47665</v>
      </c>
      <c r="J5" s="243">
        <f t="shared" ref="J5" si="3">+I6+1</f>
        <v>48030</v>
      </c>
      <c r="K5" s="243">
        <f t="shared" ref="K5" si="4">+J6+1</f>
        <v>48396</v>
      </c>
      <c r="L5" s="244"/>
    </row>
    <row r="6" spans="1:13" ht="11" thickBot="1" x14ac:dyDescent="0.3">
      <c r="A6" s="71" t="s">
        <v>4</v>
      </c>
      <c r="B6" s="245">
        <f>DATE(YEAR(B5), MONTH(B5) + 12, DAY(B5))-1</f>
        <v>45473</v>
      </c>
      <c r="C6" s="245">
        <f t="shared" ref="C6:G6" si="5">DATE(YEAR(C5), MONTH(C5) + 12, DAY(C5))-1</f>
        <v>45838</v>
      </c>
      <c r="D6" s="245">
        <f t="shared" si="5"/>
        <v>46203</v>
      </c>
      <c r="E6" s="245">
        <f t="shared" si="5"/>
        <v>46568</v>
      </c>
      <c r="F6" s="245">
        <f t="shared" si="5"/>
        <v>46934</v>
      </c>
      <c r="G6" s="245">
        <f t="shared" si="5"/>
        <v>47299</v>
      </c>
      <c r="H6" s="245">
        <f t="shared" ref="H6:K6" si="6">DATE(YEAR(H5), MONTH(H5) + 12, DAY(H5))-1</f>
        <v>47664</v>
      </c>
      <c r="I6" s="245">
        <f t="shared" si="6"/>
        <v>48029</v>
      </c>
      <c r="J6" s="245">
        <f t="shared" si="6"/>
        <v>48395</v>
      </c>
      <c r="K6" s="245">
        <f t="shared" si="6"/>
        <v>48760</v>
      </c>
      <c r="L6" s="262" t="s">
        <v>5</v>
      </c>
    </row>
    <row r="7" spans="1:13" ht="10.5" x14ac:dyDescent="0.25">
      <c r="A7" s="74" t="s">
        <v>111</v>
      </c>
      <c r="L7" s="8" t="s">
        <v>6</v>
      </c>
    </row>
    <row r="8" spans="1:13" x14ac:dyDescent="0.2">
      <c r="A8" s="3" t="str">
        <f>+'rates, dates, etc'!A447</f>
        <v>Co-PI</v>
      </c>
      <c r="B8" s="17">
        <f>HLOOKUP(B$4,'rates, dates, etc'!B446:I452,7,FALSE)</f>
        <v>0</v>
      </c>
      <c r="C8" s="17">
        <f>HLOOKUP(C$4,'rates, dates, etc'!C446:O452,7,FALSE)</f>
        <v>0</v>
      </c>
      <c r="D8" s="17">
        <f>HLOOKUP(D$4,'rates, dates, etc'!D446:P452,7,FALSE)</f>
        <v>0</v>
      </c>
      <c r="E8" s="17">
        <f>HLOOKUP(E$4,'rates, dates, etc'!E446:Q452,7,FALSE)</f>
        <v>0</v>
      </c>
      <c r="F8" s="17">
        <f>HLOOKUP(F$4,'rates, dates, etc'!F446:R452,7,FALSE)</f>
        <v>0</v>
      </c>
      <c r="G8" s="17">
        <f>HLOOKUP(G$4,'rates, dates, etc'!G446:S452,7,FALSE)</f>
        <v>0</v>
      </c>
      <c r="H8" s="17">
        <f>HLOOKUP(H$4,'rates, dates, etc'!H446:T452,7,FALSE)</f>
        <v>0</v>
      </c>
      <c r="I8" s="17">
        <f>HLOOKUP(I$4,'rates, dates, etc'!I446:U452,7,FALSE)</f>
        <v>0</v>
      </c>
      <c r="J8" s="17">
        <f>HLOOKUP(J$4,'rates, dates, etc'!J446:V452,7,FALSE)</f>
        <v>0</v>
      </c>
      <c r="K8" s="17">
        <f>HLOOKUP(K$4,'rates, dates, etc'!K446:W452,7,FALSE)</f>
        <v>0</v>
      </c>
      <c r="L8" s="83">
        <f>SUM(B8:K8)</f>
        <v>0</v>
      </c>
    </row>
    <row r="9" spans="1:13" x14ac:dyDescent="0.2">
      <c r="A9" s="3" t="str">
        <f>+'rates, dates, etc'!A455</f>
        <v>Co-PI</v>
      </c>
      <c r="B9" s="17">
        <f>HLOOKUP(B$4,'rates, dates, etc'!B454:I460,7,FALSE)</f>
        <v>0</v>
      </c>
      <c r="C9" s="17">
        <f>HLOOKUP(C$4,'rates, dates, etc'!C454:O460,7,FALSE)</f>
        <v>0</v>
      </c>
      <c r="D9" s="17">
        <f>HLOOKUP(D$4,'rates, dates, etc'!D454:P460,7,FALSE)</f>
        <v>0</v>
      </c>
      <c r="E9" s="17">
        <f>HLOOKUP(E$4,'rates, dates, etc'!E454:Q460,7,FALSE)</f>
        <v>0</v>
      </c>
      <c r="F9" s="17">
        <f>HLOOKUP(F$4,'rates, dates, etc'!F454:R460,7,FALSE)</f>
        <v>0</v>
      </c>
      <c r="G9" s="17">
        <f>HLOOKUP(G$4,'rates, dates, etc'!G454:S460,7,FALSE)</f>
        <v>0</v>
      </c>
      <c r="H9" s="17">
        <f>HLOOKUP(H$4,'rates, dates, etc'!H454:T460,7,FALSE)</f>
        <v>0</v>
      </c>
      <c r="I9" s="17">
        <f>HLOOKUP(I$4,'rates, dates, etc'!I454:U460,7,FALSE)</f>
        <v>0</v>
      </c>
      <c r="J9" s="17">
        <f>HLOOKUP(J$4,'rates, dates, etc'!J454:V460,7,FALSE)</f>
        <v>0</v>
      </c>
      <c r="K9" s="17">
        <f>HLOOKUP(K$4,'rates, dates, etc'!K454:W460,7,FALSE)</f>
        <v>0</v>
      </c>
      <c r="L9" s="83">
        <f t="shared" ref="L9:L10" si="7">SUM(B9:K9)</f>
        <v>0</v>
      </c>
    </row>
    <row r="10" spans="1:13" x14ac:dyDescent="0.2">
      <c r="A10" s="3" t="str">
        <f>+'rates, dates, etc'!A463</f>
        <v>Co-PI</v>
      </c>
      <c r="B10" s="17">
        <f>HLOOKUP(B$4,'rates, dates, etc'!B462:I468,7,FALSE)</f>
        <v>0</v>
      </c>
      <c r="C10" s="17">
        <f>HLOOKUP(C$4,'rates, dates, etc'!C462:O468,7,FALSE)</f>
        <v>0</v>
      </c>
      <c r="D10" s="17">
        <f>HLOOKUP(D$4,'rates, dates, etc'!D462:P468,7,FALSE)</f>
        <v>0</v>
      </c>
      <c r="E10" s="17">
        <f>HLOOKUP(E$4,'rates, dates, etc'!E462:Q468,7,FALSE)</f>
        <v>0</v>
      </c>
      <c r="F10" s="17">
        <f>HLOOKUP(F$4,'rates, dates, etc'!F462:R468,7,FALSE)</f>
        <v>0</v>
      </c>
      <c r="G10" s="17">
        <f>HLOOKUP(G$4,'rates, dates, etc'!G462:S468,7,FALSE)</f>
        <v>0</v>
      </c>
      <c r="H10" s="17">
        <f>HLOOKUP(H$4,'rates, dates, etc'!H462:T468,7,FALSE)</f>
        <v>0</v>
      </c>
      <c r="I10" s="17">
        <f>HLOOKUP(I$4,'rates, dates, etc'!I462:U468,7,FALSE)</f>
        <v>0</v>
      </c>
      <c r="J10" s="17">
        <f>HLOOKUP(J$4,'rates, dates, etc'!J462:V468,7,FALSE)</f>
        <v>0</v>
      </c>
      <c r="K10" s="17">
        <f>HLOOKUP(K$4,'rates, dates, etc'!K462:W468,7,FALSE)</f>
        <v>0</v>
      </c>
      <c r="L10" s="83">
        <f t="shared" si="7"/>
        <v>0</v>
      </c>
    </row>
    <row r="11" spans="1:13" ht="10.5" thickBot="1" x14ac:dyDescent="0.25">
      <c r="A11" s="76" t="str">
        <f>CONCATENATE("Total ",A7)</f>
        <v>Total Senior Personnel Salary</v>
      </c>
      <c r="B11" s="6">
        <f>SUM(B7:B10)</f>
        <v>0</v>
      </c>
      <c r="C11" s="6">
        <f t="shared" ref="C11:F11" si="8">SUM(C7:C10)</f>
        <v>0</v>
      </c>
      <c r="D11" s="6">
        <f t="shared" si="8"/>
        <v>0</v>
      </c>
      <c r="E11" s="6">
        <f t="shared" si="8"/>
        <v>0</v>
      </c>
      <c r="F11" s="6">
        <f t="shared" si="8"/>
        <v>0</v>
      </c>
      <c r="G11" s="6">
        <f t="shared" ref="G11:K11" si="9">SUM(G7:G10)</f>
        <v>0</v>
      </c>
      <c r="H11" s="6">
        <f t="shared" si="9"/>
        <v>0</v>
      </c>
      <c r="I11" s="6">
        <f t="shared" si="9"/>
        <v>0</v>
      </c>
      <c r="J11" s="6">
        <f t="shared" si="9"/>
        <v>0</v>
      </c>
      <c r="K11" s="6">
        <f t="shared" si="9"/>
        <v>0</v>
      </c>
      <c r="L11" s="86">
        <f>SUM(L7:L10)</f>
        <v>0</v>
      </c>
    </row>
    <row r="12" spans="1:13" ht="10.5" x14ac:dyDescent="0.25">
      <c r="A12" s="75" t="s">
        <v>112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3"/>
    </row>
    <row r="13" spans="1:13" x14ac:dyDescent="0.2">
      <c r="A13" s="3" t="str">
        <f>+'rates, dates, etc'!A471</f>
        <v>Post Doctoral Scholar(s)</v>
      </c>
      <c r="B13" s="5">
        <f>HLOOKUP(B$4,'rates, dates, etc'!B470:I475,6,FALSE)</f>
        <v>0</v>
      </c>
      <c r="C13" s="5">
        <f>HLOOKUP(C$4,'rates, dates, etc'!C470:O475,6,FALSE)</f>
        <v>0</v>
      </c>
      <c r="D13" s="5">
        <f>HLOOKUP(D$4,'rates, dates, etc'!D470:P475,6,FALSE)</f>
        <v>0</v>
      </c>
      <c r="E13" s="5">
        <f>HLOOKUP(E$4,'rates, dates, etc'!E470:Q475,6,FALSE)</f>
        <v>0</v>
      </c>
      <c r="F13" s="5">
        <f>HLOOKUP(F$4,'rates, dates, etc'!F470:R475,6,FALSE)</f>
        <v>0</v>
      </c>
      <c r="G13" s="5">
        <f>HLOOKUP(G$4,'rates, dates, etc'!G470:S475,6,FALSE)</f>
        <v>0</v>
      </c>
      <c r="H13" s="5">
        <f>HLOOKUP(H$4,'rates, dates, etc'!H470:T475,6,FALSE)</f>
        <v>0</v>
      </c>
      <c r="I13" s="5">
        <f>HLOOKUP(I$4,'rates, dates, etc'!I470:U475,6,FALSE)</f>
        <v>0</v>
      </c>
      <c r="J13" s="5">
        <f>HLOOKUP(J$4,'rates, dates, etc'!J470:V475,6,FALSE)</f>
        <v>0</v>
      </c>
      <c r="K13" s="5">
        <f>HLOOKUP(K$4,'rates, dates, etc'!K470:W475,6,FALSE)</f>
        <v>0</v>
      </c>
      <c r="L13" s="83">
        <f>SUM(B13:K13)</f>
        <v>0</v>
      </c>
    </row>
    <row r="14" spans="1:13" x14ac:dyDescent="0.2">
      <c r="A14" s="3" t="str">
        <f>+'rates, dates, etc'!A478</f>
        <v>Other Professional(s) (Technicians, etc)</v>
      </c>
      <c r="B14" s="5">
        <f>HLOOKUP(B$4,'rates, dates, etc'!B477:I482,6,FALSE)</f>
        <v>0</v>
      </c>
      <c r="C14" s="5">
        <f>HLOOKUP(C$4,'rates, dates, etc'!C477:O482,6,FALSE)</f>
        <v>0</v>
      </c>
      <c r="D14" s="5">
        <f>HLOOKUP(D$4,'rates, dates, etc'!D477:P482,6,FALSE)</f>
        <v>0</v>
      </c>
      <c r="E14" s="5">
        <f>HLOOKUP(E$4,'rates, dates, etc'!E477:Q482,6,FALSE)</f>
        <v>0</v>
      </c>
      <c r="F14" s="5">
        <f>HLOOKUP(F$4,'rates, dates, etc'!F477:R482,6,FALSE)</f>
        <v>0</v>
      </c>
      <c r="G14" s="5">
        <f>HLOOKUP(G$4,'rates, dates, etc'!G477:S482,6,FALSE)</f>
        <v>0</v>
      </c>
      <c r="H14" s="5">
        <f>HLOOKUP(H$4,'rates, dates, etc'!H477:T482,6,FALSE)</f>
        <v>0</v>
      </c>
      <c r="I14" s="5">
        <f>HLOOKUP(I$4,'rates, dates, etc'!I477:U482,6,FALSE)</f>
        <v>0</v>
      </c>
      <c r="J14" s="5">
        <f>HLOOKUP(J$4,'rates, dates, etc'!J477:V482,6,FALSE)</f>
        <v>0</v>
      </c>
      <c r="K14" s="5">
        <f>HLOOKUP(K$4,'rates, dates, etc'!K477:W482,6,FALSE)</f>
        <v>0</v>
      </c>
      <c r="L14" s="83">
        <f t="shared" ref="L14:L18" si="10">SUM(B14:K14)</f>
        <v>0</v>
      </c>
    </row>
    <row r="15" spans="1:13" x14ac:dyDescent="0.2">
      <c r="A15" s="3" t="str">
        <f>+'rates, dates, etc'!A484</f>
        <v>Graduate Student(s)</v>
      </c>
      <c r="B15" s="5">
        <f>O68+O69</f>
        <v>0</v>
      </c>
      <c r="C15" s="5">
        <f t="shared" ref="C15:F15" si="11">P68+P69</f>
        <v>0</v>
      </c>
      <c r="D15" s="5">
        <f t="shared" si="11"/>
        <v>0</v>
      </c>
      <c r="E15" s="5">
        <f t="shared" si="11"/>
        <v>0</v>
      </c>
      <c r="F15" s="5">
        <f t="shared" si="11"/>
        <v>0</v>
      </c>
      <c r="G15" s="5">
        <f t="shared" ref="G15" si="12">T68+T69</f>
        <v>0</v>
      </c>
      <c r="H15" s="5">
        <f t="shared" ref="H15" si="13">U68+U69</f>
        <v>0</v>
      </c>
      <c r="I15" s="5">
        <f t="shared" ref="I15" si="14">V68+V69</f>
        <v>0</v>
      </c>
      <c r="J15" s="5">
        <f t="shared" ref="J15" si="15">W68+W69</f>
        <v>0</v>
      </c>
      <c r="K15" s="5">
        <f t="shared" ref="K15" si="16">X68+X69</f>
        <v>0</v>
      </c>
      <c r="L15" s="83">
        <f t="shared" si="10"/>
        <v>0</v>
      </c>
    </row>
    <row r="16" spans="1:13" x14ac:dyDescent="0.2">
      <c r="A16" s="3" t="str">
        <f>+'rates, dates, etc'!A489</f>
        <v>Undergraduate Student(s)</v>
      </c>
      <c r="B16" s="5">
        <f>+'rates, dates, etc'!B497</f>
        <v>0</v>
      </c>
      <c r="C16" s="5">
        <f>+'rates, dates, etc'!C497</f>
        <v>0</v>
      </c>
      <c r="D16" s="5">
        <f>+'rates, dates, etc'!D497</f>
        <v>0</v>
      </c>
      <c r="E16" s="5">
        <f>+'rates, dates, etc'!E497</f>
        <v>0</v>
      </c>
      <c r="F16" s="5">
        <f>+'rates, dates, etc'!F497</f>
        <v>0</v>
      </c>
      <c r="G16" s="5">
        <f>+'rates, dates, etc'!G497</f>
        <v>0</v>
      </c>
      <c r="H16" s="5">
        <f>+'rates, dates, etc'!H497</f>
        <v>0</v>
      </c>
      <c r="I16" s="5">
        <f>+'rates, dates, etc'!I497</f>
        <v>0</v>
      </c>
      <c r="J16" s="5">
        <f>+'rates, dates, etc'!J497</f>
        <v>0</v>
      </c>
      <c r="K16" s="5">
        <f>+'rates, dates, etc'!K497</f>
        <v>0</v>
      </c>
      <c r="L16" s="83">
        <f t="shared" si="10"/>
        <v>0</v>
      </c>
    </row>
    <row r="17" spans="1:12" x14ac:dyDescent="0.2">
      <c r="A17" s="3" t="str">
        <f>+'rates, dates, etc'!A500</f>
        <v>Other</v>
      </c>
      <c r="B17" s="5">
        <f>HLOOKUP(B$4,'rates, dates, etc'!B499:I504,6,FALSE)</f>
        <v>0</v>
      </c>
      <c r="C17" s="5">
        <f>HLOOKUP(C$4,'rates, dates, etc'!C499:O504,6,FALSE)</f>
        <v>0</v>
      </c>
      <c r="D17" s="5">
        <f>HLOOKUP(D$4,'rates, dates, etc'!D499:P504,6,FALSE)</f>
        <v>0</v>
      </c>
      <c r="E17" s="5">
        <f>HLOOKUP(E$4,'rates, dates, etc'!E499:Q504,6,FALSE)</f>
        <v>0</v>
      </c>
      <c r="F17" s="5">
        <f>HLOOKUP(F$4,'rates, dates, etc'!F499:R504,6,FALSE)</f>
        <v>0</v>
      </c>
      <c r="G17" s="5">
        <f>HLOOKUP(G$4,'rates, dates, etc'!G499:S504,6,FALSE)</f>
        <v>0</v>
      </c>
      <c r="H17" s="5">
        <f>HLOOKUP(H$4,'rates, dates, etc'!H499:T504,6,FALSE)</f>
        <v>0</v>
      </c>
      <c r="I17" s="5">
        <f>HLOOKUP(I$4,'rates, dates, etc'!I499:U504,6,FALSE)</f>
        <v>0</v>
      </c>
      <c r="J17" s="5">
        <f>HLOOKUP(J$4,'rates, dates, etc'!J499:V504,6,FALSE)</f>
        <v>0</v>
      </c>
      <c r="K17" s="5">
        <f>HLOOKUP(K$4,'rates, dates, etc'!K499:W504,6,FALSE)</f>
        <v>0</v>
      </c>
      <c r="L17" s="83">
        <f t="shared" si="10"/>
        <v>0</v>
      </c>
    </row>
    <row r="18" spans="1:12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83">
        <f t="shared" si="10"/>
        <v>0</v>
      </c>
    </row>
    <row r="19" spans="1:12" ht="10.5" thickBot="1" x14ac:dyDescent="0.25">
      <c r="A19" s="76" t="str">
        <f>CONCATENATE("Total ",A12)</f>
        <v>Total Other Personnel Salary</v>
      </c>
      <c r="B19" s="6">
        <f>SUM(B12:B18)</f>
        <v>0</v>
      </c>
      <c r="C19" s="6">
        <f>SUM(C12:C18)</f>
        <v>0</v>
      </c>
      <c r="D19" s="6">
        <f t="shared" ref="D19:F19" si="17">SUM(D12:D18)</f>
        <v>0</v>
      </c>
      <c r="E19" s="6">
        <f>SUM(E12:E18)</f>
        <v>0</v>
      </c>
      <c r="F19" s="6">
        <f t="shared" si="17"/>
        <v>0</v>
      </c>
      <c r="G19" s="6">
        <f t="shared" ref="G19:K19" si="18">SUM(G12:G18)</f>
        <v>0</v>
      </c>
      <c r="H19" s="6">
        <f t="shared" si="18"/>
        <v>0</v>
      </c>
      <c r="I19" s="6">
        <f t="shared" si="18"/>
        <v>0</v>
      </c>
      <c r="J19" s="6">
        <f t="shared" si="18"/>
        <v>0</v>
      </c>
      <c r="K19" s="6">
        <f t="shared" si="18"/>
        <v>0</v>
      </c>
      <c r="L19" s="86">
        <f>SUM(L12:L18)</f>
        <v>0</v>
      </c>
    </row>
    <row r="20" spans="1:12" ht="10.5" x14ac:dyDescent="0.25">
      <c r="A20" s="77" t="s">
        <v>7</v>
      </c>
      <c r="B20" s="17" t="s">
        <v>6</v>
      </c>
      <c r="C20" s="17"/>
      <c r="D20" s="17"/>
      <c r="E20" s="17"/>
      <c r="F20" s="17"/>
      <c r="G20" s="17"/>
      <c r="H20" s="17"/>
      <c r="I20" s="17"/>
      <c r="J20" s="17"/>
      <c r="K20" s="17"/>
      <c r="L20" s="83"/>
    </row>
    <row r="21" spans="1:12" x14ac:dyDescent="0.2">
      <c r="A21" s="3" t="str">
        <f>+A8</f>
        <v>Co-PI</v>
      </c>
      <c r="B21" s="17">
        <f>IF('rates, dates, etc'!$O448=9,ROUND((+B8*O$78),0),ROUND((+B8*O$81*$P$89)+(B8*P$81*$P$90),0))</f>
        <v>0</v>
      </c>
      <c r="C21" s="17">
        <f>IF('rates, dates, etc'!$O448=9,ROUND((+C8*P$78),0),ROUND((+C8*P$81*$P$89)+(C8*Q$81*$P$90),0))</f>
        <v>0</v>
      </c>
      <c r="D21" s="17">
        <f>IF('rates, dates, etc'!$O448=9,ROUND((+D8*Q$78),0),ROUND((+D8*Q$81*$P$89)+(D8*R$81*$P$90),0))</f>
        <v>0</v>
      </c>
      <c r="E21" s="17">
        <f>IF('rates, dates, etc'!$O448=9,ROUND((+E8*R$78),0),ROUND((+E8*R$81*$P$89)+(E8*S$81*$P$90),0))</f>
        <v>0</v>
      </c>
      <c r="F21" s="17">
        <f>IF('rates, dates, etc'!$O448=9,ROUND((+F8*S$78),0),ROUND((+F8*S$81*$P$89)+(F8*T$81*$P$90),0))</f>
        <v>0</v>
      </c>
      <c r="G21" s="17">
        <f>IF('rates, dates, etc'!$O448=9,ROUND((+G8*T$78),0),ROUND((+G8*T$81*$P$89)+(G8*U$81*$P$90),0))</f>
        <v>0</v>
      </c>
      <c r="H21" s="17">
        <f>IF('rates, dates, etc'!$O448=9,ROUND((+H8*U$78),0),ROUND((+H8*U$81*$P$89)+(H8*V$81*$P$90),0))</f>
        <v>0</v>
      </c>
      <c r="I21" s="17">
        <f>IF('rates, dates, etc'!$O448=9,ROUND((+I8*V$78),0),ROUND((+I8*V$81*$P$89)+(I8*W$81*$P$90),0))</f>
        <v>0</v>
      </c>
      <c r="J21" s="17">
        <f>IF('rates, dates, etc'!$O448=9,ROUND((+J8*W$78),0),ROUND((+J8*W$81*$P$89)+(J8*X$81*$P$90),0))</f>
        <v>0</v>
      </c>
      <c r="K21" s="17">
        <f>IF('rates, dates, etc'!$O448=9,ROUND((+K8*X$78),0),ROUND((+K8*X$81*$P$89)+(K8*Y$81*$P$90),0))</f>
        <v>0</v>
      </c>
      <c r="L21" s="83">
        <f>SUM(B21:K21)</f>
        <v>0</v>
      </c>
    </row>
    <row r="22" spans="1:12" x14ac:dyDescent="0.2">
      <c r="A22" s="3" t="str">
        <f>+A9</f>
        <v>Co-PI</v>
      </c>
      <c r="B22" s="17">
        <f>IF('rates, dates, etc'!$O456=9,ROUND((+B9*O$78),0),ROUND((+B9*O$81*$P$89)+(B9*P$81*$P$90),0))</f>
        <v>0</v>
      </c>
      <c r="C22" s="17">
        <f>IF('rates, dates, etc'!$O456=9,ROUND((+C9*P$78),0),ROUND((+C9*P$81*$P$89)+(C9*Q$81*$P$90),0))</f>
        <v>0</v>
      </c>
      <c r="D22" s="17">
        <f>IF('rates, dates, etc'!$O456=9,ROUND((+D9*Q$78),0),ROUND((+D9*Q$81*$P$89)+(D9*R$81*$P$90),0))</f>
        <v>0</v>
      </c>
      <c r="E22" s="17">
        <f>IF('rates, dates, etc'!$O456=9,ROUND((+E9*R$78),0),ROUND((+E9*R$81*$P$89)+(E9*S$81*$P$90),0))</f>
        <v>0</v>
      </c>
      <c r="F22" s="17">
        <f>IF('rates, dates, etc'!$O456=9,ROUND((+F9*S$78),0),ROUND((+F9*S$81*$P$89)+(F9*T$81*$P$90),0))</f>
        <v>0</v>
      </c>
      <c r="G22" s="17">
        <f>IF('rates, dates, etc'!$O456=9,ROUND((+G9*T$78),0),ROUND((+G9*T$81*$P$89)+(G9*U$81*$P$90),0))</f>
        <v>0</v>
      </c>
      <c r="H22" s="17">
        <f>IF('rates, dates, etc'!$O456=9,ROUND((+H9*U$78),0),ROUND((+H9*U$81*$P$89)+(H9*V$81*$P$90),0))</f>
        <v>0</v>
      </c>
      <c r="I22" s="17">
        <f>IF('rates, dates, etc'!$O456=9,ROUND((+I9*V$78),0),ROUND((+I9*V$81*$P$89)+(I9*W$81*$P$90),0))</f>
        <v>0</v>
      </c>
      <c r="J22" s="17">
        <f>IF('rates, dates, etc'!$O456=9,ROUND((+J9*W$78),0),ROUND((+J9*W$81*$P$89)+(J9*X$81*$P$90),0))</f>
        <v>0</v>
      </c>
      <c r="K22" s="17">
        <f>IF('rates, dates, etc'!$O456=9,ROUND((+K9*X$78),0),ROUND((+K9*X$81*$P$89)+(K9*Y$81*$P$90),0))</f>
        <v>0</v>
      </c>
      <c r="L22" s="83">
        <f t="shared" ref="L22:L26" si="19">SUM(B22:K22)</f>
        <v>0</v>
      </c>
    </row>
    <row r="23" spans="1:12" x14ac:dyDescent="0.2">
      <c r="A23" s="3" t="str">
        <f>+A10</f>
        <v>Co-PI</v>
      </c>
      <c r="B23" s="17">
        <f>IF('rates, dates, etc'!$O464=9,ROUND((+B10*O$78),0),ROUND((+B10*O$81*$P$89)+(B10*P$81*$P$90),0))</f>
        <v>0</v>
      </c>
      <c r="C23" s="17">
        <f>IF('rates, dates, etc'!$O464=9,ROUND((+C10*P$78),0),ROUND((+C10*P$81*$P$89)+(C10*Q$81*$P$90),0))</f>
        <v>0</v>
      </c>
      <c r="D23" s="17">
        <f>IF('rates, dates, etc'!$O464=9,ROUND((+D10*Q$78),0),ROUND((+D10*Q$81*$P$89)+(D10*R$81*$P$90),0))</f>
        <v>0</v>
      </c>
      <c r="E23" s="17">
        <f>IF('rates, dates, etc'!$O464=9,ROUND((+E10*R$78),0),ROUND((+E10*R$81*$P$89)+(E10*S$81*$P$90),0))</f>
        <v>0</v>
      </c>
      <c r="F23" s="17">
        <f>IF('rates, dates, etc'!$O464=9,ROUND((+F10*S$78),0),ROUND((+F10*S$81*$P$89)+(F10*T$81*$P$90),0))</f>
        <v>0</v>
      </c>
      <c r="G23" s="17">
        <f>IF('rates, dates, etc'!$O464=9,ROUND((+G10*T$78),0),ROUND((+G10*T$81*$P$89)+(G10*U$81*$P$90),0))</f>
        <v>0</v>
      </c>
      <c r="H23" s="17">
        <f>IF('rates, dates, etc'!$O464=9,ROUND((+H10*U$78),0),ROUND((+H10*U$81*$P$89)+(H10*V$81*$P$90),0))</f>
        <v>0</v>
      </c>
      <c r="I23" s="17">
        <f>IF('rates, dates, etc'!$O464=9,ROUND((+I10*V$78),0),ROUND((+I10*V$81*$P$89)+(I10*W$81*$P$90),0))</f>
        <v>0</v>
      </c>
      <c r="J23" s="17">
        <f>IF('rates, dates, etc'!$O464=9,ROUND((+J10*W$78),0),ROUND((+J10*W$81*$P$89)+(J10*X$81*$P$90),0))</f>
        <v>0</v>
      </c>
      <c r="K23" s="17">
        <f>IF('rates, dates, etc'!$O464=9,ROUND((+K10*X$78),0),ROUND((+K10*X$81*$P$89)+(K10*Y$81*$P$90),0))</f>
        <v>0</v>
      </c>
      <c r="L23" s="83">
        <f t="shared" si="19"/>
        <v>0</v>
      </c>
    </row>
    <row r="24" spans="1:12" x14ac:dyDescent="0.2">
      <c r="A24" s="3" t="str">
        <f>+A13</f>
        <v>Post Doctoral Scholar(s)</v>
      </c>
      <c r="B24" s="17">
        <f t="shared" ref="B24:F25" si="20">ROUND((+B13*O82*$P$89)+(B13*P82*$P$90),0)</f>
        <v>0</v>
      </c>
      <c r="C24" s="17">
        <f t="shared" si="20"/>
        <v>0</v>
      </c>
      <c r="D24" s="17">
        <f t="shared" si="20"/>
        <v>0</v>
      </c>
      <c r="E24" s="17">
        <f t="shared" si="20"/>
        <v>0</v>
      </c>
      <c r="F24" s="17">
        <f t="shared" si="20"/>
        <v>0</v>
      </c>
      <c r="G24" s="17">
        <f t="shared" ref="G24:K24" si="21">ROUND((+G13*T82*$P$89)+(G13*U82*$P$90),0)</f>
        <v>0</v>
      </c>
      <c r="H24" s="17">
        <f t="shared" si="21"/>
        <v>0</v>
      </c>
      <c r="I24" s="17">
        <f t="shared" si="21"/>
        <v>0</v>
      </c>
      <c r="J24" s="17">
        <f t="shared" si="21"/>
        <v>0</v>
      </c>
      <c r="K24" s="17">
        <f t="shared" si="21"/>
        <v>0</v>
      </c>
      <c r="L24" s="83">
        <f t="shared" si="19"/>
        <v>0</v>
      </c>
    </row>
    <row r="25" spans="1:12" x14ac:dyDescent="0.2">
      <c r="A25" s="3" t="str">
        <f>+A14</f>
        <v>Other Professional(s) (Technicians, etc)</v>
      </c>
      <c r="B25" s="17">
        <f t="shared" si="20"/>
        <v>0</v>
      </c>
      <c r="C25" s="17">
        <f t="shared" si="20"/>
        <v>0</v>
      </c>
      <c r="D25" s="17">
        <f t="shared" si="20"/>
        <v>0</v>
      </c>
      <c r="E25" s="17">
        <f t="shared" si="20"/>
        <v>0</v>
      </c>
      <c r="F25" s="17">
        <f t="shared" si="20"/>
        <v>0</v>
      </c>
      <c r="G25" s="17">
        <f t="shared" ref="G25:K25" si="22">ROUND((+G14*T83*$P$89)+(G14*U83*$P$90),0)</f>
        <v>0</v>
      </c>
      <c r="H25" s="17">
        <f t="shared" si="22"/>
        <v>0</v>
      </c>
      <c r="I25" s="17">
        <f t="shared" si="22"/>
        <v>0</v>
      </c>
      <c r="J25" s="17">
        <f t="shared" si="22"/>
        <v>0</v>
      </c>
      <c r="K25" s="17">
        <f t="shared" si="22"/>
        <v>0</v>
      </c>
      <c r="L25" s="83">
        <f t="shared" si="19"/>
        <v>0</v>
      </c>
    </row>
    <row r="26" spans="1:12" x14ac:dyDescent="0.2">
      <c r="A26" s="3" t="str">
        <f>+A17</f>
        <v>Other</v>
      </c>
      <c r="B26" s="17">
        <f>IF('rates, dates, etc'!$O501=9,ROUND((+B17*O$78),0),ROUND((+B17*O$83*$P$89)+(B17*P$83*$P$90),0))</f>
        <v>0</v>
      </c>
      <c r="C26" s="17">
        <f>IF('rates, dates, etc'!$O501=9,ROUND((+C17*P$78),0),ROUND((+C17*P$83*$P$89)+(C17*Q$83*$P$90),0))</f>
        <v>0</v>
      </c>
      <c r="D26" s="17">
        <f>IF('rates, dates, etc'!$O501=9,ROUND((+D17*Q$78),0),ROUND((+D17*Q$83*$P$89)+(D17*R$83*$P$90),0))</f>
        <v>0</v>
      </c>
      <c r="E26" s="17">
        <f>IF('rates, dates, etc'!$O501=9,ROUND((+E17*R$78),0),ROUND((+E17*R$83*$P$89)+(E17*S$83*$P$90),0))</f>
        <v>0</v>
      </c>
      <c r="F26" s="17">
        <f>IF('rates, dates, etc'!$O501=9,ROUND((+F17*S$78),0),ROUND((+F17*S$83*$P$89)+(F17*T$83*$P$90),0))</f>
        <v>0</v>
      </c>
      <c r="G26" s="17">
        <f>IF('rates, dates, etc'!$O501=9,ROUND((+G17*T$78),0),ROUND((+G17*T$83*$P$89)+(G17*U$83*$P$90),0))</f>
        <v>0</v>
      </c>
      <c r="H26" s="17">
        <f>IF('rates, dates, etc'!$O501=9,ROUND((+H17*U$78),0),ROUND((+H17*U$83*$P$89)+(H17*V$83*$P$90),0))</f>
        <v>0</v>
      </c>
      <c r="I26" s="17">
        <f>IF('rates, dates, etc'!$O501=9,ROUND((+I17*V$78),0),ROUND((+I17*V$83*$P$89)+(I17*W$83*$P$90),0))</f>
        <v>0</v>
      </c>
      <c r="J26" s="17">
        <f>IF('rates, dates, etc'!$O501=9,ROUND((+J17*W$78),0),ROUND((+J17*W$83*$P$89)+(J17*X$83*$P$90),0))</f>
        <v>0</v>
      </c>
      <c r="K26" s="17">
        <f>IF('rates, dates, etc'!$O501=9,ROUND((+K17*X$78),0),ROUND((+K17*X$83*$P$89)+(K17*Y$83*$P$90),0))</f>
        <v>0</v>
      </c>
      <c r="L26" s="83">
        <f t="shared" si="19"/>
        <v>0</v>
      </c>
    </row>
    <row r="27" spans="1:12" ht="10.5" thickBot="1" x14ac:dyDescent="0.25">
      <c r="A27" s="76" t="str">
        <f>CONCATENATE("Total ",A20)</f>
        <v>Total Fringe Benefits</v>
      </c>
      <c r="B27" s="6">
        <f>SUM(B20:B26)</f>
        <v>0</v>
      </c>
      <c r="C27" s="6">
        <f>SUM(C20:C26)</f>
        <v>0</v>
      </c>
      <c r="D27" s="6">
        <f>SUM(D20:D26)</f>
        <v>0</v>
      </c>
      <c r="E27" s="6">
        <f t="shared" ref="E27:F27" si="23">SUM(E20:E26)</f>
        <v>0</v>
      </c>
      <c r="F27" s="6">
        <f t="shared" si="23"/>
        <v>0</v>
      </c>
      <c r="G27" s="6">
        <f t="shared" ref="G27:K27" si="24">SUM(G20:G26)</f>
        <v>0</v>
      </c>
      <c r="H27" s="6">
        <f t="shared" si="24"/>
        <v>0</v>
      </c>
      <c r="I27" s="6">
        <f t="shared" si="24"/>
        <v>0</v>
      </c>
      <c r="J27" s="6">
        <f t="shared" si="24"/>
        <v>0</v>
      </c>
      <c r="K27" s="6">
        <f t="shared" si="24"/>
        <v>0</v>
      </c>
      <c r="L27" s="86">
        <f>SUM(L20:L26)</f>
        <v>0</v>
      </c>
    </row>
    <row r="28" spans="1:12" ht="11" thickBot="1" x14ac:dyDescent="0.3">
      <c r="A28" s="130" t="s">
        <v>108</v>
      </c>
      <c r="B28" s="131">
        <f>+B11+B19+B27</f>
        <v>0</v>
      </c>
      <c r="C28" s="131">
        <f t="shared" ref="C28:F28" si="25">+C11+C19+C27</f>
        <v>0</v>
      </c>
      <c r="D28" s="131">
        <f t="shared" si="25"/>
        <v>0</v>
      </c>
      <c r="E28" s="131">
        <f t="shared" si="25"/>
        <v>0</v>
      </c>
      <c r="F28" s="131">
        <f t="shared" si="25"/>
        <v>0</v>
      </c>
      <c r="G28" s="131">
        <f t="shared" ref="G28:K28" si="26">+G11+G19+G27</f>
        <v>0</v>
      </c>
      <c r="H28" s="131">
        <f t="shared" si="26"/>
        <v>0</v>
      </c>
      <c r="I28" s="131">
        <f t="shared" si="26"/>
        <v>0</v>
      </c>
      <c r="J28" s="131">
        <f t="shared" si="26"/>
        <v>0</v>
      </c>
      <c r="K28" s="131">
        <f t="shared" si="26"/>
        <v>0</v>
      </c>
      <c r="L28" s="132">
        <f>SUM(B28:K28)</f>
        <v>0</v>
      </c>
    </row>
    <row r="29" spans="1:12" ht="10.5" x14ac:dyDescent="0.25">
      <c r="A29" s="77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3"/>
    </row>
    <row r="30" spans="1:12" x14ac:dyDescent="0.2">
      <c r="A30" s="3" t="s">
        <v>62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3">
        <f>SUM(B30:K30)</f>
        <v>0</v>
      </c>
    </row>
    <row r="31" spans="1:12" x14ac:dyDescent="0.2">
      <c r="A31" s="3"/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3">
        <f>SUM(B31:K31)</f>
        <v>0</v>
      </c>
    </row>
    <row r="32" spans="1:12" ht="10.5" thickBot="1" x14ac:dyDescent="0.25">
      <c r="A32" s="76" t="str">
        <f>CONCATENATE("Total ",A29)</f>
        <v>Total Equipment</v>
      </c>
      <c r="B32" s="6">
        <f>SUM(B29:B31)</f>
        <v>0</v>
      </c>
      <c r="C32" s="6">
        <f>SUM(C29:C31)</f>
        <v>0</v>
      </c>
      <c r="D32" s="6">
        <f t="shared" ref="D32:F32" si="27">SUM(D29:D31)</f>
        <v>0</v>
      </c>
      <c r="E32" s="6">
        <f t="shared" si="27"/>
        <v>0</v>
      </c>
      <c r="F32" s="6">
        <f t="shared" si="27"/>
        <v>0</v>
      </c>
      <c r="G32" s="6">
        <f t="shared" ref="G32:K32" si="28">SUM(G29:G31)</f>
        <v>0</v>
      </c>
      <c r="H32" s="6">
        <f t="shared" si="28"/>
        <v>0</v>
      </c>
      <c r="I32" s="6">
        <f t="shared" si="28"/>
        <v>0</v>
      </c>
      <c r="J32" s="6">
        <f t="shared" si="28"/>
        <v>0</v>
      </c>
      <c r="K32" s="6">
        <f t="shared" si="28"/>
        <v>0</v>
      </c>
      <c r="L32" s="86">
        <f>SUM(L29:L31)</f>
        <v>0</v>
      </c>
    </row>
    <row r="33" spans="1:16" ht="10.5" x14ac:dyDescent="0.25">
      <c r="A33" s="77" t="s">
        <v>34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3"/>
    </row>
    <row r="34" spans="1:16" x14ac:dyDescent="0.2">
      <c r="A34" s="3" t="s">
        <v>10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83">
        <f>SUM(B34:K34)</f>
        <v>0</v>
      </c>
    </row>
    <row r="35" spans="1:16" x14ac:dyDescent="0.2">
      <c r="A35" s="3" t="s">
        <v>11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3">
        <f>SUM(B35:K35)</f>
        <v>0</v>
      </c>
    </row>
    <row r="36" spans="1:16" ht="10.5" thickBot="1" x14ac:dyDescent="0.25">
      <c r="A36" s="76" t="str">
        <f>CONCATENATE("Total ",A33)</f>
        <v>Total Travel</v>
      </c>
      <c r="B36" s="6">
        <f>SUM(B33:B35)</f>
        <v>0</v>
      </c>
      <c r="C36" s="6">
        <f>SUM(C33:C35)</f>
        <v>0</v>
      </c>
      <c r="D36" s="6">
        <f t="shared" ref="D36:F36" si="29">SUM(D33:D35)</f>
        <v>0</v>
      </c>
      <c r="E36" s="6">
        <f t="shared" si="29"/>
        <v>0</v>
      </c>
      <c r="F36" s="6">
        <f t="shared" si="29"/>
        <v>0</v>
      </c>
      <c r="G36" s="6">
        <f t="shared" ref="G36:K36" si="30">SUM(G33:G35)</f>
        <v>0</v>
      </c>
      <c r="H36" s="6">
        <f t="shared" si="30"/>
        <v>0</v>
      </c>
      <c r="I36" s="6">
        <f t="shared" si="30"/>
        <v>0</v>
      </c>
      <c r="J36" s="6">
        <f t="shared" si="30"/>
        <v>0</v>
      </c>
      <c r="K36" s="6">
        <f t="shared" si="30"/>
        <v>0</v>
      </c>
      <c r="L36" s="86">
        <f>SUM(L33:L35)</f>
        <v>0</v>
      </c>
    </row>
    <row r="37" spans="1:16" ht="10.5" x14ac:dyDescent="0.25">
      <c r="A37" s="77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3"/>
    </row>
    <row r="38" spans="1:16" x14ac:dyDescent="0.2">
      <c r="A38" s="3" t="s">
        <v>75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3">
        <f>SUM(B38:K38)</f>
        <v>0</v>
      </c>
      <c r="N38" s="1"/>
      <c r="O38" s="1"/>
      <c r="P38" s="1"/>
    </row>
    <row r="39" spans="1:16" x14ac:dyDescent="0.2">
      <c r="A39" s="3" t="s">
        <v>42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3">
        <f t="shared" ref="L39:L42" si="31">SUM(B39:K39)</f>
        <v>0</v>
      </c>
      <c r="N39" s="1"/>
      <c r="O39" s="1"/>
      <c r="P39" s="1"/>
    </row>
    <row r="40" spans="1:16" x14ac:dyDescent="0.2">
      <c r="A40" s="3" t="s">
        <v>34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3">
        <f t="shared" si="31"/>
        <v>0</v>
      </c>
      <c r="P40" s="1"/>
    </row>
    <row r="41" spans="1:16" x14ac:dyDescent="0.2">
      <c r="A41" s="3" t="s">
        <v>43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3">
        <f t="shared" si="31"/>
        <v>0</v>
      </c>
    </row>
    <row r="42" spans="1:16" x14ac:dyDescent="0.2">
      <c r="A42" s="3" t="s">
        <v>29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83">
        <f t="shared" si="31"/>
        <v>0</v>
      </c>
    </row>
    <row r="43" spans="1:16" ht="10.5" thickBot="1" x14ac:dyDescent="0.25">
      <c r="A43" s="76" t="str">
        <f>CONCATENATE("Total ",A37)</f>
        <v>Total Participant Support Costs</v>
      </c>
      <c r="B43" s="6">
        <f>SUM(B37:B42)</f>
        <v>0</v>
      </c>
      <c r="C43" s="6">
        <f>SUM(C37:C42)</f>
        <v>0</v>
      </c>
      <c r="D43" s="6">
        <f t="shared" ref="D43:F43" si="32">SUM(D37:D42)</f>
        <v>0</v>
      </c>
      <c r="E43" s="6">
        <f t="shared" si="32"/>
        <v>0</v>
      </c>
      <c r="F43" s="6">
        <f t="shared" si="32"/>
        <v>0</v>
      </c>
      <c r="G43" s="6">
        <f t="shared" ref="G43:K43" si="33">SUM(G37:G42)</f>
        <v>0</v>
      </c>
      <c r="H43" s="6">
        <f t="shared" si="33"/>
        <v>0</v>
      </c>
      <c r="I43" s="6">
        <f t="shared" si="33"/>
        <v>0</v>
      </c>
      <c r="J43" s="6">
        <f t="shared" si="33"/>
        <v>0</v>
      </c>
      <c r="K43" s="6">
        <f t="shared" si="33"/>
        <v>0</v>
      </c>
      <c r="L43" s="86">
        <f>SUM(L37:L42)</f>
        <v>0</v>
      </c>
    </row>
    <row r="44" spans="1:16" ht="10.5" x14ac:dyDescent="0.25">
      <c r="A44" s="77" t="s">
        <v>13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83"/>
    </row>
    <row r="45" spans="1:16" x14ac:dyDescent="0.2">
      <c r="A45" s="3" t="s">
        <v>14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83">
        <f>SUM(B45:K45)</f>
        <v>0</v>
      </c>
    </row>
    <row r="46" spans="1:16" x14ac:dyDescent="0.2">
      <c r="A46" s="3" t="s">
        <v>183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83">
        <f t="shared" ref="L46:L53" si="34">SUM(B46:K46)</f>
        <v>0</v>
      </c>
    </row>
    <row r="47" spans="1:16" x14ac:dyDescent="0.2">
      <c r="A47" s="3" t="s">
        <v>15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83">
        <f t="shared" si="34"/>
        <v>0</v>
      </c>
    </row>
    <row r="48" spans="1:16" x14ac:dyDescent="0.2">
      <c r="A48" s="3" t="s">
        <v>184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83">
        <f t="shared" si="34"/>
        <v>0</v>
      </c>
    </row>
    <row r="49" spans="1:20" x14ac:dyDescent="0.2">
      <c r="A49" s="3" t="s">
        <v>41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83">
        <f t="shared" si="34"/>
        <v>0</v>
      </c>
    </row>
    <row r="50" spans="1:20" x14ac:dyDescent="0.2">
      <c r="A50" s="3" t="s">
        <v>148</v>
      </c>
      <c r="B50" s="78">
        <f>O70</f>
        <v>0</v>
      </c>
      <c r="C50" s="78">
        <f t="shared" ref="C50:F50" si="35">P70</f>
        <v>0</v>
      </c>
      <c r="D50" s="78">
        <f t="shared" si="35"/>
        <v>0</v>
      </c>
      <c r="E50" s="78">
        <f t="shared" si="35"/>
        <v>0</v>
      </c>
      <c r="F50" s="78">
        <f t="shared" si="35"/>
        <v>0</v>
      </c>
      <c r="G50" s="78">
        <f t="shared" ref="G50:G51" si="36">T70</f>
        <v>0</v>
      </c>
      <c r="H50" s="78">
        <f t="shared" ref="H50:H51" si="37">U70</f>
        <v>0</v>
      </c>
      <c r="I50" s="78">
        <f t="shared" ref="I50:I51" si="38">V70</f>
        <v>0</v>
      </c>
      <c r="J50" s="78">
        <f t="shared" ref="J50:J51" si="39">W70</f>
        <v>0</v>
      </c>
      <c r="K50" s="78">
        <f t="shared" ref="K50:K51" si="40">X70</f>
        <v>0</v>
      </c>
      <c r="L50" s="83">
        <f t="shared" si="34"/>
        <v>0</v>
      </c>
    </row>
    <row r="51" spans="1:20" x14ac:dyDescent="0.2">
      <c r="A51" s="3" t="s">
        <v>147</v>
      </c>
      <c r="B51" s="78">
        <f>O71</f>
        <v>0</v>
      </c>
      <c r="C51" s="78">
        <f t="shared" ref="C51:F51" si="41">P71</f>
        <v>0</v>
      </c>
      <c r="D51" s="78">
        <f t="shared" si="41"/>
        <v>0</v>
      </c>
      <c r="E51" s="78">
        <f t="shared" si="41"/>
        <v>0</v>
      </c>
      <c r="F51" s="78">
        <f t="shared" si="41"/>
        <v>0</v>
      </c>
      <c r="G51" s="78">
        <f t="shared" si="36"/>
        <v>0</v>
      </c>
      <c r="H51" s="78">
        <f t="shared" si="37"/>
        <v>0</v>
      </c>
      <c r="I51" s="78">
        <f t="shared" si="38"/>
        <v>0</v>
      </c>
      <c r="J51" s="78">
        <f t="shared" si="39"/>
        <v>0</v>
      </c>
      <c r="K51" s="78">
        <f t="shared" si="40"/>
        <v>0</v>
      </c>
      <c r="L51" s="83">
        <f t="shared" si="34"/>
        <v>0</v>
      </c>
    </row>
    <row r="52" spans="1:20" x14ac:dyDescent="0.2">
      <c r="A52" s="3" t="s">
        <v>29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3">
        <f t="shared" si="34"/>
        <v>0</v>
      </c>
    </row>
    <row r="53" spans="1:20" x14ac:dyDescent="0.2">
      <c r="A53" s="3" t="s">
        <v>29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3">
        <f t="shared" si="34"/>
        <v>0</v>
      </c>
      <c r="P53" s="1"/>
      <c r="S53" s="5"/>
      <c r="T53" s="5"/>
    </row>
    <row r="54" spans="1:20" ht="10.5" thickBot="1" x14ac:dyDescent="0.25">
      <c r="A54" s="76" t="str">
        <f>CONCATENATE("Total ",A44)</f>
        <v>Total Other Direct Costs</v>
      </c>
      <c r="B54" s="86">
        <f t="shared" ref="B54:L54" si="42">SUM(B44:B53)</f>
        <v>0</v>
      </c>
      <c r="C54" s="6">
        <f t="shared" si="42"/>
        <v>0</v>
      </c>
      <c r="D54" s="6">
        <f t="shared" si="42"/>
        <v>0</v>
      </c>
      <c r="E54" s="6">
        <f t="shared" si="42"/>
        <v>0</v>
      </c>
      <c r="F54" s="6">
        <f t="shared" si="42"/>
        <v>0</v>
      </c>
      <c r="G54" s="6">
        <f t="shared" ref="G54:K54" si="43">SUM(G44:G53)</f>
        <v>0</v>
      </c>
      <c r="H54" s="6">
        <f t="shared" si="43"/>
        <v>0</v>
      </c>
      <c r="I54" s="6">
        <f t="shared" si="43"/>
        <v>0</v>
      </c>
      <c r="J54" s="6">
        <f t="shared" si="43"/>
        <v>0</v>
      </c>
      <c r="K54" s="6">
        <f t="shared" si="43"/>
        <v>0</v>
      </c>
      <c r="L54" s="86">
        <f t="shared" si="42"/>
        <v>0</v>
      </c>
      <c r="S54" s="5"/>
      <c r="T54" s="5"/>
    </row>
    <row r="55" spans="1:20" ht="11" thickBot="1" x14ac:dyDescent="0.3">
      <c r="A55" s="82" t="s">
        <v>16</v>
      </c>
      <c r="B55" s="124">
        <f t="shared" ref="B55:L55" si="44">SUM(+B11+B19+B27+B32+B36+B43+B54)</f>
        <v>0</v>
      </c>
      <c r="C55" s="124">
        <f t="shared" si="44"/>
        <v>0</v>
      </c>
      <c r="D55" s="124">
        <f t="shared" si="44"/>
        <v>0</v>
      </c>
      <c r="E55" s="124">
        <f t="shared" si="44"/>
        <v>0</v>
      </c>
      <c r="F55" s="124">
        <f t="shared" si="44"/>
        <v>0</v>
      </c>
      <c r="G55" s="124">
        <f t="shared" ref="G55:K55" si="45">SUM(+G11+G19+G27+G32+G36+G43+G54)</f>
        <v>0</v>
      </c>
      <c r="H55" s="124">
        <f t="shared" si="45"/>
        <v>0</v>
      </c>
      <c r="I55" s="124">
        <f t="shared" si="45"/>
        <v>0</v>
      </c>
      <c r="J55" s="124">
        <f t="shared" si="45"/>
        <v>0</v>
      </c>
      <c r="K55" s="124">
        <f t="shared" si="45"/>
        <v>0</v>
      </c>
      <c r="L55" s="125">
        <f t="shared" si="44"/>
        <v>0</v>
      </c>
      <c r="S55" s="5"/>
      <c r="T55" s="5"/>
    </row>
    <row r="56" spans="1:20" ht="11" thickBot="1" x14ac:dyDescent="0.3">
      <c r="A56" s="71" t="s">
        <v>17</v>
      </c>
      <c r="B56" s="94">
        <f>+B55-(B50+B51+B43+B61+B32)</f>
        <v>0</v>
      </c>
      <c r="C56" s="94">
        <f t="shared" ref="C56:K56" si="46">+C55-(C50+C51+C43+C61+C32)</f>
        <v>0</v>
      </c>
      <c r="D56" s="94">
        <f t="shared" si="46"/>
        <v>0</v>
      </c>
      <c r="E56" s="94">
        <f t="shared" si="46"/>
        <v>0</v>
      </c>
      <c r="F56" s="94">
        <f t="shared" si="46"/>
        <v>0</v>
      </c>
      <c r="G56" s="94">
        <f t="shared" si="46"/>
        <v>0</v>
      </c>
      <c r="H56" s="94">
        <f t="shared" si="46"/>
        <v>0</v>
      </c>
      <c r="I56" s="94">
        <f t="shared" si="46"/>
        <v>0</v>
      </c>
      <c r="J56" s="94">
        <f t="shared" si="46"/>
        <v>0</v>
      </c>
      <c r="K56" s="94">
        <f t="shared" si="46"/>
        <v>0</v>
      </c>
      <c r="L56" s="81">
        <f>SUM(B56:K56)</f>
        <v>0</v>
      </c>
      <c r="M56" s="108"/>
      <c r="S56" s="5"/>
      <c r="T56" s="5"/>
    </row>
    <row r="57" spans="1:20" ht="11" thickBot="1" x14ac:dyDescent="0.3">
      <c r="A57" s="99" t="s">
        <v>18</v>
      </c>
      <c r="B57" s="126">
        <f>IF(AND('rates, dates, etc'!$B$8="no",'Budget Summary'!$L$99&lt;'Budget Summary'!$L$100),B63,B64)</f>
        <v>0</v>
      </c>
      <c r="C57" s="126">
        <f>IF(AND('rates, dates, etc'!$B$8="no",'Budget Summary'!$L$99&lt;'Budget Summary'!$L$100),C63,C64)</f>
        <v>0</v>
      </c>
      <c r="D57" s="126">
        <f>IF(AND('rates, dates, etc'!$B$8="no",'Budget Summary'!$L$99&lt;'Budget Summary'!$L$100),D63,D64)</f>
        <v>0</v>
      </c>
      <c r="E57" s="126">
        <f>IF(AND('rates, dates, etc'!$B$8="no",'Budget Summary'!$L$99&lt;'Budget Summary'!$L$100),E63,E64)</f>
        <v>0</v>
      </c>
      <c r="F57" s="126">
        <f>IF(AND('rates, dates, etc'!$B$8="no",'Budget Summary'!$L$99&lt;'Budget Summary'!$L$100),F63,F64)</f>
        <v>0</v>
      </c>
      <c r="G57" s="126">
        <f>IF(AND('rates, dates, etc'!$B$8="no",'Budget Summary'!$L$99&lt;'Budget Summary'!$L$100),G63,G64)</f>
        <v>0</v>
      </c>
      <c r="H57" s="126">
        <f>IF(AND('rates, dates, etc'!$B$8="no",'Budget Summary'!$L$99&lt;'Budget Summary'!$L$100),H63,H64)</f>
        <v>0</v>
      </c>
      <c r="I57" s="126">
        <f>IF(AND('rates, dates, etc'!$B$8="no",'Budget Summary'!$L$99&lt;'Budget Summary'!$L$100),I63,I64)</f>
        <v>0</v>
      </c>
      <c r="J57" s="126">
        <f>IF(AND('rates, dates, etc'!$B$8="no",'Budget Summary'!$L$99&lt;'Budget Summary'!$L$100),J63,J64)</f>
        <v>0</v>
      </c>
      <c r="K57" s="126">
        <f>IF(AND('rates, dates, etc'!$B$8="no",'Budget Summary'!$L$99&lt;'Budget Summary'!$L$100),K63,K64)</f>
        <v>0</v>
      </c>
      <c r="L57" s="127">
        <f>SUM(B57:K57)</f>
        <v>0</v>
      </c>
      <c r="M57" s="107"/>
      <c r="S57" s="5"/>
      <c r="T57" s="5"/>
    </row>
    <row r="58" spans="1:20" ht="11" thickBot="1" x14ac:dyDescent="0.3">
      <c r="A58" s="100" t="s">
        <v>19</v>
      </c>
      <c r="B58" s="128">
        <f>+B55+B57</f>
        <v>0</v>
      </c>
      <c r="C58" s="128">
        <f t="shared" ref="C58:F58" si="47">+C55+C57</f>
        <v>0</v>
      </c>
      <c r="D58" s="128">
        <f t="shared" si="47"/>
        <v>0</v>
      </c>
      <c r="E58" s="128">
        <f t="shared" si="47"/>
        <v>0</v>
      </c>
      <c r="F58" s="128">
        <f t="shared" si="47"/>
        <v>0</v>
      </c>
      <c r="G58" s="128">
        <f t="shared" ref="G58:K58" si="48">+G55+G57</f>
        <v>0</v>
      </c>
      <c r="H58" s="128">
        <f t="shared" si="48"/>
        <v>0</v>
      </c>
      <c r="I58" s="128">
        <f t="shared" si="48"/>
        <v>0</v>
      </c>
      <c r="J58" s="128">
        <f t="shared" si="48"/>
        <v>0</v>
      </c>
      <c r="K58" s="128">
        <f t="shared" si="48"/>
        <v>0</v>
      </c>
      <c r="L58" s="129">
        <f>SUM(B58:K58)</f>
        <v>0</v>
      </c>
      <c r="Q58" s="4"/>
      <c r="S58" s="5"/>
      <c r="T58" s="5"/>
    </row>
    <row r="59" spans="1:20" ht="10.5" x14ac:dyDescent="0.25">
      <c r="A59" s="7"/>
      <c r="B59" s="4"/>
      <c r="C59" s="4"/>
      <c r="D59" s="4"/>
      <c r="E59" s="4"/>
      <c r="F59" s="4"/>
      <c r="G59" s="4"/>
      <c r="H59" s="4"/>
      <c r="I59" s="4"/>
      <c r="J59" s="4"/>
      <c r="K59" s="4"/>
      <c r="Q59" s="4"/>
      <c r="S59" s="5"/>
      <c r="T59" s="5"/>
    </row>
    <row r="60" spans="1:20" ht="11" thickBo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20" ht="11" thickBot="1" x14ac:dyDescent="0.3">
      <c r="A61" s="20" t="s">
        <v>40</v>
      </c>
      <c r="B61" s="87">
        <f>+B49-IF(B49&lt;25000,B49,25000)</f>
        <v>0</v>
      </c>
      <c r="C61" s="87">
        <f>+C49-IF(+B49&gt;25000,0,IF(B49+C49&gt;25000,(25000-B49),C49))</f>
        <v>0</v>
      </c>
      <c r="D61" s="87">
        <f>+D49-IF(+B49+C49&gt;25000,0,IF(B49+C49+D49&gt;25000,(25000-(B49+C49)),D49))</f>
        <v>0</v>
      </c>
      <c r="E61" s="87">
        <f>+E49-IF(B49+C49+D49&gt;25000,0,IF(B49+C49+D49+E49&gt;25000,(25000-(C49+C49+D49)),E49))</f>
        <v>0</v>
      </c>
      <c r="F61" s="87">
        <f>+F49-IF(B49+C49+D49+E49&gt;25000,0,IF(B49+C49+D49+E49+F49&gt;25000,(25000-(B49+C49+D49+E49)),F49))</f>
        <v>0</v>
      </c>
      <c r="G61" s="87">
        <f t="shared" ref="G61:K61" si="49">+G49-IF(C49+D49+E49+F49&gt;25000,0,IF(C49+D49+E49+F49+G49&gt;25000,(25000-(C49+D49+E49+F49)),G49))</f>
        <v>0</v>
      </c>
      <c r="H61" s="87">
        <f t="shared" si="49"/>
        <v>0</v>
      </c>
      <c r="I61" s="87">
        <f t="shared" si="49"/>
        <v>0</v>
      </c>
      <c r="J61" s="87">
        <f t="shared" si="49"/>
        <v>0</v>
      </c>
      <c r="K61" s="87">
        <f t="shared" si="49"/>
        <v>0</v>
      </c>
      <c r="L61" s="92">
        <f>SUM(B61:K61)</f>
        <v>0</v>
      </c>
    </row>
    <row r="62" spans="1:20" ht="11" thickBot="1" x14ac:dyDescent="0.3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20" ht="11" thickBot="1" x14ac:dyDescent="0.3">
      <c r="A63" s="90" t="s">
        <v>110</v>
      </c>
      <c r="B63" s="93">
        <f>IF('rates, dates, etc'!$B$8="Yes",0,ROUND((B55*O85*$P$89)+(B55*P85*$P$90),0))</f>
        <v>0</v>
      </c>
      <c r="C63" s="93">
        <f>IF('rates, dates, etc'!$B$8="Yes",0,ROUND((C55*P85*$P$89)+(C55*Q85*$P$90),0))</f>
        <v>0</v>
      </c>
      <c r="D63" s="93">
        <f>IF('rates, dates, etc'!$B$8="Yes",0,ROUND((D55*Q85*$P$89)+(D55*R85*$P$90),0))</f>
        <v>0</v>
      </c>
      <c r="E63" s="93">
        <f>IF('rates, dates, etc'!$B$8="Yes",0,ROUND((E55*R85*$P$89)+(E55*S85*$P$90),0))</f>
        <v>0</v>
      </c>
      <c r="F63" s="93">
        <f>IF('rates, dates, etc'!$B$8="Yes",0,ROUND((F55*S85*$P$89)+(F55*T85*$P$90),0))</f>
        <v>0</v>
      </c>
      <c r="G63" s="93">
        <f>IF('rates, dates, etc'!$B$8="Yes",0,ROUND((G55*T85*$P$89)+(G55*U85*$P$90),0))</f>
        <v>0</v>
      </c>
      <c r="H63" s="93">
        <f>IF('rates, dates, etc'!$B$8="Yes",0,ROUND((H55*U85*$P$89)+(H55*V85*$P$90),0))</f>
        <v>0</v>
      </c>
      <c r="I63" s="93">
        <f>IF('rates, dates, etc'!$B$8="Yes",0,ROUND((I55*V85*$P$89)+(I55*W85*$P$90),0))</f>
        <v>0</v>
      </c>
      <c r="J63" s="93">
        <f>IF('rates, dates, etc'!$B$8="Yes",0,ROUND((J55*W85*$P$89)+(J55*X85*$P$90),0))</f>
        <v>0</v>
      </c>
      <c r="K63" s="93">
        <f>IF('rates, dates, etc'!$B$8="Yes",0,ROUND((K55*X85*$P$89)+(K55*Y85*$P$90),0))</f>
        <v>0</v>
      </c>
      <c r="L63" s="93">
        <f>SUM(B63:K63)</f>
        <v>0</v>
      </c>
    </row>
    <row r="64" spans="1:20" ht="11" thickBot="1" x14ac:dyDescent="0.3">
      <c r="A64" s="91" t="s">
        <v>109</v>
      </c>
      <c r="B64" s="93">
        <f t="shared" ref="B64:K64" si="50">ROUND((B56*O86*$P$89)+(B56*P86*$P$90),0)</f>
        <v>0</v>
      </c>
      <c r="C64" s="95">
        <f t="shared" si="50"/>
        <v>0</v>
      </c>
      <c r="D64" s="95">
        <f t="shared" si="50"/>
        <v>0</v>
      </c>
      <c r="E64" s="95">
        <f t="shared" si="50"/>
        <v>0</v>
      </c>
      <c r="F64" s="95">
        <f t="shared" si="50"/>
        <v>0</v>
      </c>
      <c r="G64" s="95">
        <f t="shared" si="50"/>
        <v>0</v>
      </c>
      <c r="H64" s="95">
        <f t="shared" si="50"/>
        <v>0</v>
      </c>
      <c r="I64" s="95">
        <f t="shared" si="50"/>
        <v>0</v>
      </c>
      <c r="J64" s="95">
        <f t="shared" si="50"/>
        <v>0</v>
      </c>
      <c r="K64" s="95">
        <f t="shared" si="50"/>
        <v>0</v>
      </c>
      <c r="L64" s="93">
        <f>SUM(B64:K64)</f>
        <v>0</v>
      </c>
    </row>
    <row r="66" spans="14:26" ht="11" thickBot="1" x14ac:dyDescent="0.3">
      <c r="N66" s="43" t="s">
        <v>71</v>
      </c>
      <c r="O66" s="9" t="str">
        <f>+'rates, dates, etc'!B79</f>
        <v>Year 1</v>
      </c>
      <c r="P66" s="9" t="str">
        <f>+'rates, dates, etc'!C79</f>
        <v>Year 2</v>
      </c>
      <c r="Q66" s="9" t="str">
        <f>+'rates, dates, etc'!D79</f>
        <v>Year 3</v>
      </c>
      <c r="R66" s="9" t="str">
        <f>+'rates, dates, etc'!E79</f>
        <v>Year 4</v>
      </c>
      <c r="S66" s="9" t="str">
        <f>+'rates, dates, etc'!F79</f>
        <v>Year 5</v>
      </c>
      <c r="T66" s="9" t="str">
        <f>+'rates, dates, etc'!G79</f>
        <v>Year 6</v>
      </c>
      <c r="U66" s="9" t="str">
        <f>+'rates, dates, etc'!H79</f>
        <v>Year 7</v>
      </c>
      <c r="V66" s="9" t="str">
        <f>+'rates, dates, etc'!I79</f>
        <v>Year 8</v>
      </c>
      <c r="W66" s="9" t="str">
        <f>+'rates, dates, etc'!J79</f>
        <v>Year 9</v>
      </c>
      <c r="X66" s="9" t="str">
        <f>+'rates, dates, etc'!K79</f>
        <v>Year 10</v>
      </c>
    </row>
    <row r="67" spans="14:26" x14ac:dyDescent="0.2">
      <c r="N67" s="14" t="s">
        <v>32</v>
      </c>
      <c r="O67" s="15">
        <f>SUM('rates, dates, etc'!S479:S481)/3</f>
        <v>0</v>
      </c>
      <c r="P67" s="15">
        <f>SUM('rates, dates, etc'!T479:T481)/3</f>
        <v>0</v>
      </c>
      <c r="Q67" s="15">
        <f>SUM('rates, dates, etc'!U479:U481)/3</f>
        <v>0</v>
      </c>
      <c r="R67" s="15">
        <f>SUM('rates, dates, etc'!V479:V481)/3</f>
        <v>0</v>
      </c>
      <c r="S67" s="15">
        <f>SUM('rates, dates, etc'!W479:W481)/3</f>
        <v>0</v>
      </c>
      <c r="T67" s="15">
        <f>SUM('rates, dates, etc'!X479:X481)/3</f>
        <v>0</v>
      </c>
      <c r="U67" s="15">
        <f>SUM('rates, dates, etc'!Y479:Y481)/3</f>
        <v>0</v>
      </c>
      <c r="V67" s="15">
        <f>SUM('rates, dates, etc'!Z479:Z481)/3</f>
        <v>0</v>
      </c>
      <c r="W67" s="15">
        <f>SUM('rates, dates, etc'!AA479:AA481)/3</f>
        <v>0</v>
      </c>
      <c r="X67" s="15">
        <f>SUM('rates, dates, etc'!AB479:AB481)/3</f>
        <v>0</v>
      </c>
    </row>
    <row r="68" spans="14:26" x14ac:dyDescent="0.2">
      <c r="N68" s="3" t="s">
        <v>145</v>
      </c>
      <c r="O68" s="4">
        <f>(SUMIF('rates, dates, etc'!$R$495:$R$503,"Stipend (Fall)",'rates, dates, etc'!S495:S503))+
(SUMIF('rates, dates, etc'!$R$495:$R$503,"Stipend (Spring)",'rates, dates, etc'!S495:S503))</f>
        <v>0</v>
      </c>
      <c r="P68" s="4">
        <f>(SUMIF('rates, dates, etc'!$R$495:$R$503,"Stipend (Fall)",'rates, dates, etc'!T495:T503))+
(SUMIF('rates, dates, etc'!$R$495:$R$503,"Stipend (Spring)",'rates, dates, etc'!T495:T503))</f>
        <v>0</v>
      </c>
      <c r="Q68" s="4">
        <f>(SUMIF('rates, dates, etc'!$R$495:$R$503,"Stipend (Fall)",'rates, dates, etc'!U495:U503))+
(SUMIF('rates, dates, etc'!$R$495:$R$503,"Stipend (Spring)",'rates, dates, etc'!U495:U503))</f>
        <v>0</v>
      </c>
      <c r="R68" s="4">
        <f>(SUMIF('rates, dates, etc'!$R$495:$R$503,"Stipend (Fall)",'rates, dates, etc'!V495:V503))+
(SUMIF('rates, dates, etc'!$R$495:$R$503,"Stipend (Spring)",'rates, dates, etc'!V495:V503))</f>
        <v>0</v>
      </c>
      <c r="S68" s="4">
        <f>(SUMIF('rates, dates, etc'!$R$495:$R$503,"Stipend (Fall)",'rates, dates, etc'!W495:W503))+
(SUMIF('rates, dates, etc'!$R$495:$R$503,"Stipend (Spring)",'rates, dates, etc'!W495:W503))</f>
        <v>0</v>
      </c>
      <c r="T68" s="4">
        <f>(SUMIF('rates, dates, etc'!$R$495:$R$503,"Stipend (Fall)",'rates, dates, etc'!X495:X503))+
(SUMIF('rates, dates, etc'!$R$495:$R$503,"Stipend (Spring)",'rates, dates, etc'!X495:X503))</f>
        <v>0</v>
      </c>
      <c r="U68" s="4">
        <f>(SUMIF('rates, dates, etc'!$R$495:$R$503,"Stipend (Fall)",'rates, dates, etc'!Y495:Y503))+
(SUMIF('rates, dates, etc'!$R$495:$R$503,"Stipend (Spring)",'rates, dates, etc'!Y495:Y503))</f>
        <v>0</v>
      </c>
      <c r="V68" s="4">
        <f>(SUMIF('rates, dates, etc'!$R$495:$R$503,"Stipend (Fall)",'rates, dates, etc'!Z495:Z503))+
(SUMIF('rates, dates, etc'!$R$495:$R$503,"Stipend (Spring)",'rates, dates, etc'!Z495:Z503))</f>
        <v>0</v>
      </c>
      <c r="W68" s="4">
        <f>(SUMIF('rates, dates, etc'!$R$495:$R$503,"Stipend (Fall)",'rates, dates, etc'!AA495:AA503))+
(SUMIF('rates, dates, etc'!$R$495:$R$503,"Stipend (Spring)",'rates, dates, etc'!AA495:AA503))</f>
        <v>0</v>
      </c>
      <c r="X68" s="4">
        <f>(SUMIF('rates, dates, etc'!$R$495:$R$503,"Stipend (Fall)",'rates, dates, etc'!AB495:AB503))+
(SUMIF('rates, dates, etc'!$R$495:$R$503,"Stipend (Spring)",'rates, dates, etc'!AB495:AB503))</f>
        <v>0</v>
      </c>
    </row>
    <row r="69" spans="14:26" x14ac:dyDescent="0.2">
      <c r="N69" s="3" t="s">
        <v>146</v>
      </c>
      <c r="O69" s="4">
        <f>(SUMIF('rates, dates, etc'!$R$495:$R$503,"Stipend (Summer)",'rates, dates, etc'!S495:S503))</f>
        <v>0</v>
      </c>
      <c r="P69" s="4">
        <f>(SUMIF('rates, dates, etc'!$R$495:$R$503,"Stipend (Summer)",'rates, dates, etc'!T495:T503))</f>
        <v>0</v>
      </c>
      <c r="Q69" s="4">
        <f>(SUMIF('rates, dates, etc'!$R$495:$R$503,"Stipend (Summer)",'rates, dates, etc'!U495:U503))</f>
        <v>0</v>
      </c>
      <c r="R69" s="4">
        <f>(SUMIF('rates, dates, etc'!$R$495:$R$503,"Stipend (Summer)",'rates, dates, etc'!V495:V503))</f>
        <v>0</v>
      </c>
      <c r="S69" s="4">
        <f>(SUMIF('rates, dates, etc'!$R$495:$R$503,"Stipend (Summer)",'rates, dates, etc'!W495:W503))</f>
        <v>0</v>
      </c>
      <c r="T69" s="4">
        <f>(SUMIF('rates, dates, etc'!$R$495:$R$503,"Stipend (Summer)",'rates, dates, etc'!X495:X503))</f>
        <v>0</v>
      </c>
      <c r="U69" s="4">
        <f>(SUMIF('rates, dates, etc'!$R$495:$R$503,"Stipend (Summer)",'rates, dates, etc'!Y495:Y503))</f>
        <v>0</v>
      </c>
      <c r="V69" s="4">
        <f>(SUMIF('rates, dates, etc'!$R$495:$R$503,"Stipend (Summer)",'rates, dates, etc'!Z495:Z503))</f>
        <v>0</v>
      </c>
      <c r="W69" s="4">
        <f>(SUMIF('rates, dates, etc'!$R$495:$R$503,"Stipend (Summer)",'rates, dates, etc'!AA495:AA503))</f>
        <v>0</v>
      </c>
      <c r="X69" s="4">
        <f>(SUMIF('rates, dates, etc'!$R$495:$R$503,"Stipend (Summer)",'rates, dates, etc'!AB495:AB503))</f>
        <v>0</v>
      </c>
    </row>
    <row r="70" spans="14:26" x14ac:dyDescent="0.2">
      <c r="N70" s="3" t="s">
        <v>8</v>
      </c>
      <c r="O70" s="4">
        <f>(SUMIF('rates, dates, etc'!$R$495:$R$503,"Tuition (Fall)",'rates, dates, etc'!S495:S503))+
(SUMIF('rates, dates, etc'!$R$495:$R$503,"Tuition (Spring)",'rates, dates, etc'!S495:S503))+
(SUMIF('rates, dates, etc'!$R$495:$R$503,"Tuition (Summer)",'rates, dates, etc'!S495:S503))</f>
        <v>0</v>
      </c>
      <c r="P70" s="4">
        <f>(SUMIF('rates, dates, etc'!$R$495:$R$503,"Tuition (Fall)",'rates, dates, etc'!T495:T503))+
(SUMIF('rates, dates, etc'!$R$495:$R$503,"Tuition (Spring)",'rates, dates, etc'!T495:T503))+
(SUMIF('rates, dates, etc'!$R$495:$R$503,"Tuition (Summer)",'rates, dates, etc'!T495:T503))</f>
        <v>0</v>
      </c>
      <c r="Q70" s="4">
        <f>(SUMIF('rates, dates, etc'!$R$495:$R$503,"Tuition (Fall)",'rates, dates, etc'!U495:U503))+
(SUMIF('rates, dates, etc'!$R$495:$R$503,"Tuition (Spring)",'rates, dates, etc'!U495:U503))+
(SUMIF('rates, dates, etc'!$R$495:$R$503,"Tuition (Summer)",'rates, dates, etc'!U495:U503))</f>
        <v>0</v>
      </c>
      <c r="R70" s="4">
        <f>(SUMIF('rates, dates, etc'!$R$495:$R$503,"Tuition (Fall)",'rates, dates, etc'!V495:V503))+
(SUMIF('rates, dates, etc'!$R$495:$R$503,"Tuition (Spring)",'rates, dates, etc'!V495:V503))+
(SUMIF('rates, dates, etc'!$R$495:$R$503,"Tuition (Summer)",'rates, dates, etc'!V495:V503))</f>
        <v>0</v>
      </c>
      <c r="S70" s="4">
        <f>(SUMIF('rates, dates, etc'!$R$495:$R$503,"Tuition (Fall)",'rates, dates, etc'!W495:W503))+
(SUMIF('rates, dates, etc'!$R$495:$R$503,"Tuition (Spring)",'rates, dates, etc'!W495:W503))+
(SUMIF('rates, dates, etc'!$R$495:$R$503,"Tuition (Summer)",'rates, dates, etc'!W495:W503))</f>
        <v>0</v>
      </c>
      <c r="T70" s="4">
        <f>(SUMIF('rates, dates, etc'!$R$495:$R$503,"Tuition (Fall)",'rates, dates, etc'!X495:X503))+
(SUMIF('rates, dates, etc'!$R$495:$R$503,"Tuition (Spring)",'rates, dates, etc'!X495:X503))+
(SUMIF('rates, dates, etc'!$R$495:$R$503,"Tuition (Summer)",'rates, dates, etc'!X495:X503))</f>
        <v>0</v>
      </c>
      <c r="U70" s="4">
        <f>(SUMIF('rates, dates, etc'!$R$495:$R$503,"Tuition (Fall)",'rates, dates, etc'!Y495:Y503))+
(SUMIF('rates, dates, etc'!$R$495:$R$503,"Tuition (Spring)",'rates, dates, etc'!Y495:Y503))+
(SUMIF('rates, dates, etc'!$R$495:$R$503,"Tuition (Summer)",'rates, dates, etc'!Y495:Y503))</f>
        <v>0</v>
      </c>
      <c r="V70" s="4">
        <f>(SUMIF('rates, dates, etc'!$R$495:$R$503,"Tuition (Fall)",'rates, dates, etc'!Z495:Z503))+
(SUMIF('rates, dates, etc'!$R$495:$R$503,"Tuition (Spring)",'rates, dates, etc'!Z495:Z503))+
(SUMIF('rates, dates, etc'!$R$495:$R$503,"Tuition (Summer)",'rates, dates, etc'!Z495:Z503))</f>
        <v>0</v>
      </c>
      <c r="W70" s="4">
        <f>(SUMIF('rates, dates, etc'!$R$495:$R$503,"Tuition (Fall)",'rates, dates, etc'!AA495:AA503))+
(SUMIF('rates, dates, etc'!$R$495:$R$503,"Tuition (Spring)",'rates, dates, etc'!AA495:AA503))+
(SUMIF('rates, dates, etc'!$R$495:$R$503,"Tuition (Summer)",'rates, dates, etc'!AA495:AA503))</f>
        <v>0</v>
      </c>
      <c r="X70" s="4">
        <f>(SUMIF('rates, dates, etc'!$R$495:$R$503,"Tuition (Fall)",'rates, dates, etc'!AB495:AB503))+
(SUMIF('rates, dates, etc'!$R$495:$R$503,"Tuition (Spring)",'rates, dates, etc'!AB495:AB503))+
(SUMIF('rates, dates, etc'!$R$495:$R$503,"Tuition (Summer)",'rates, dates, etc'!AB495:AB503))</f>
        <v>0</v>
      </c>
    </row>
    <row r="71" spans="14:26" x14ac:dyDescent="0.2">
      <c r="N71" s="3" t="s">
        <v>9</v>
      </c>
      <c r="O71" s="4">
        <f>(SUMIF('rates, dates, etc'!$R$495:$R$503,"Health Insurance (Fall)",'rates, dates, etc'!S495:S503))+
(SUMIF('rates, dates, etc'!$R$495:$R$503,"Health Insurance (Spring)",'rates, dates, etc'!S495:S503))+
(SUMIF('rates, dates, etc'!$R$495:$R$503,"Health Insurance (Summer)",'rates, dates, etc'!S495:S503))</f>
        <v>0</v>
      </c>
      <c r="P71" s="4">
        <f>(SUMIF('rates, dates, etc'!$R$495:$R$503,"Health Insurance (Fall)",'rates, dates, etc'!T495:T503))+
(SUMIF('rates, dates, etc'!$R$495:$R$503,"Health Insurance (Spring)",'rates, dates, etc'!T495:T503))+
(SUMIF('rates, dates, etc'!$R$495:$R$503,"Health Insurance (Summer)",'rates, dates, etc'!T495:T503))</f>
        <v>0</v>
      </c>
      <c r="Q71" s="4">
        <f>(SUMIF('rates, dates, etc'!$R$495:$R$503,"Health Insurance (Fall)",'rates, dates, etc'!U495:U503))+
(SUMIF('rates, dates, etc'!$R$495:$R$503,"Health Insurance (Spring)",'rates, dates, etc'!U495:U503))+
(SUMIF('rates, dates, etc'!$R$495:$R$503,"Health Insurance (Summer)",'rates, dates, etc'!U495:U503))</f>
        <v>0</v>
      </c>
      <c r="R71" s="4">
        <f>(SUMIF('rates, dates, etc'!$R$495:$R$503,"Health Insurance (Fall)",'rates, dates, etc'!V495:V503))+
(SUMIF('rates, dates, etc'!$R$495:$R$503,"Health Insurance (Spring)",'rates, dates, etc'!V495:V503))+
(SUMIF('rates, dates, etc'!$R$495:$R$503,"Health Insurance (Summer)",'rates, dates, etc'!V495:V503))</f>
        <v>0</v>
      </c>
      <c r="S71" s="4">
        <f>(SUMIF('rates, dates, etc'!$R$495:$R$503,"Health Insurance (Fall)",'rates, dates, etc'!W495:W503))+
(SUMIF('rates, dates, etc'!$R$495:$R$503,"Health Insurance (Spring)",'rates, dates, etc'!W495:W503))+
(SUMIF('rates, dates, etc'!$R$495:$R$503,"Health Insurance (Summer)",'rates, dates, etc'!W495:W503))</f>
        <v>0</v>
      </c>
      <c r="T71" s="4">
        <f>(SUMIF('rates, dates, etc'!$R$495:$R$503,"Health Insurance (Fall)",'rates, dates, etc'!X495:X503))+
(SUMIF('rates, dates, etc'!$R$495:$R$503,"Health Insurance (Spring)",'rates, dates, etc'!X495:X503))+
(SUMIF('rates, dates, etc'!$R$495:$R$503,"Health Insurance (Summer)",'rates, dates, etc'!X495:X503))</f>
        <v>0</v>
      </c>
      <c r="U71" s="4">
        <f>(SUMIF('rates, dates, etc'!$R$495:$R$503,"Health Insurance (Fall)",'rates, dates, etc'!Y495:Y503))+
(SUMIF('rates, dates, etc'!$R$495:$R$503,"Health Insurance (Spring)",'rates, dates, etc'!Y495:Y503))+
(SUMIF('rates, dates, etc'!$R$495:$R$503,"Health Insurance (Summer)",'rates, dates, etc'!Y495:Y503))</f>
        <v>0</v>
      </c>
      <c r="V71" s="4">
        <f>(SUMIF('rates, dates, etc'!$R$495:$R$503,"Health Insurance (Fall)",'rates, dates, etc'!Z495:Z503))+
(SUMIF('rates, dates, etc'!$R$495:$R$503,"Health Insurance (Spring)",'rates, dates, etc'!Z495:Z503))+
(SUMIF('rates, dates, etc'!$R$495:$R$503,"Health Insurance (Summer)",'rates, dates, etc'!Z495:Z503))</f>
        <v>0</v>
      </c>
      <c r="W71" s="4">
        <f>(SUMIF('rates, dates, etc'!$R$495:$R$503,"Health Insurance (Fall)",'rates, dates, etc'!AA495:AA503))+
(SUMIF('rates, dates, etc'!$R$495:$R$503,"Health Insurance (Spring)",'rates, dates, etc'!AA495:AA503))+
(SUMIF('rates, dates, etc'!$R$495:$R$503,"Health Insurance (Summer)",'rates, dates, etc'!AA495:AA503))</f>
        <v>0</v>
      </c>
      <c r="X71" s="4">
        <f>(SUMIF('rates, dates, etc'!$R$495:$R$503,"Health Insurance (Fall)",'rates, dates, etc'!AB495:AB503))+
(SUMIF('rates, dates, etc'!$R$495:$R$503,"Health Insurance (Spring)",'rates, dates, etc'!AB495:AB503))+
(SUMIF('rates, dates, etc'!$R$495:$R$503,"Health Insurance (Summer)",'rates, dates, etc'!AB495:AB503))</f>
        <v>0</v>
      </c>
    </row>
    <row r="72" spans="14:26" ht="10.5" thickBot="1" x14ac:dyDescent="0.25">
      <c r="N72" s="13" t="s">
        <v>31</v>
      </c>
      <c r="O72" s="16">
        <f>SUM(O68:O71)</f>
        <v>0</v>
      </c>
      <c r="P72" s="16">
        <f>SUM(P68:P71)</f>
        <v>0</v>
      </c>
      <c r="Q72" s="16">
        <f>SUM(Q68:Q71)</f>
        <v>0</v>
      </c>
      <c r="R72" s="16">
        <f>SUM(R68:R71)</f>
        <v>0</v>
      </c>
      <c r="S72" s="16">
        <f>SUM(S68:S71)</f>
        <v>0</v>
      </c>
      <c r="T72" s="16">
        <f t="shared" ref="T72:W72" si="51">SUM(T68:T71)</f>
        <v>0</v>
      </c>
      <c r="U72" s="16">
        <f t="shared" si="51"/>
        <v>0</v>
      </c>
      <c r="V72" s="16">
        <f t="shared" si="51"/>
        <v>0</v>
      </c>
      <c r="W72" s="16">
        <f t="shared" si="51"/>
        <v>0</v>
      </c>
      <c r="X72" s="16">
        <f>SUM(X68:X71)</f>
        <v>0</v>
      </c>
    </row>
    <row r="76" spans="14:26" x14ac:dyDescent="0.2">
      <c r="N76" s="44" t="s">
        <v>33</v>
      </c>
    </row>
    <row r="77" spans="14:26" ht="10.5" x14ac:dyDescent="0.25">
      <c r="N77" s="64" t="s">
        <v>103</v>
      </c>
      <c r="O77" s="65" t="str">
        <f>+'rates, dates, etc'!AE5</f>
        <v>FY2024</v>
      </c>
      <c r="P77" s="65" t="str">
        <f>+'rates, dates, etc'!AF5</f>
        <v>FY2025</v>
      </c>
      <c r="Q77" s="65" t="str">
        <f>+'rates, dates, etc'!AG5</f>
        <v>FY2026</v>
      </c>
      <c r="R77" s="65" t="str">
        <f>+'rates, dates, etc'!AH5</f>
        <v>FY2027</v>
      </c>
      <c r="S77" s="65" t="str">
        <f>+'rates, dates, etc'!AI5</f>
        <v>FY2028</v>
      </c>
      <c r="T77" s="65" t="str">
        <f>+'rates, dates, etc'!AJ5</f>
        <v>FY2029</v>
      </c>
      <c r="U77" s="65" t="str">
        <f>+'rates, dates, etc'!AK5</f>
        <v>FY2030</v>
      </c>
      <c r="V77" s="65" t="str">
        <f>+'rates, dates, etc'!AL5</f>
        <v>FY2031</v>
      </c>
      <c r="W77" s="65" t="str">
        <f>+'rates, dates, etc'!AM5</f>
        <v>FY2032</v>
      </c>
      <c r="X77" s="65" t="str">
        <f>+'rates, dates, etc'!AN5</f>
        <v>FY2033</v>
      </c>
      <c r="Y77" s="65" t="str">
        <f>+'rates, dates, etc'!AO5</f>
        <v>FY2034</v>
      </c>
      <c r="Z77" s="65" t="str">
        <f>+'rates, dates, etc'!AP5</f>
        <v>FY2035</v>
      </c>
    </row>
    <row r="78" spans="14:26" x14ac:dyDescent="0.2">
      <c r="N78" s="2" t="str">
        <f>+'rates, dates, etc'!A437</f>
        <v xml:space="preserve">   Endowed - Senior Personnel</v>
      </c>
      <c r="O78" s="9">
        <f>IF('rates, dates, etc'!B436='rates, dates, etc'!AE5,'rates, dates, etc'!B437,'rates, dates, etc'!C437)</f>
        <v>0.37</v>
      </c>
      <c r="P78" s="9">
        <f>IF('rates, dates, etc'!C436='rates, dates, etc'!AF5,'rates, dates, etc'!C437,'rates, dates, etc'!D437)</f>
        <v>0.37</v>
      </c>
      <c r="Q78" s="9">
        <f>IF('rates, dates, etc'!D436='rates, dates, etc'!AG5,'rates, dates, etc'!D437,'rates, dates, etc'!E437)</f>
        <v>0.37</v>
      </c>
      <c r="R78" s="9">
        <f>IF('rates, dates, etc'!E436='rates, dates, etc'!AH5,'rates, dates, etc'!E437,'rates, dates, etc'!F437)</f>
        <v>0.37</v>
      </c>
      <c r="S78" s="9">
        <f>IF('rates, dates, etc'!F436='rates, dates, etc'!AI5,'rates, dates, etc'!F437,'rates, dates, etc'!G437)</f>
        <v>0.37</v>
      </c>
      <c r="T78" s="9">
        <f>IF('rates, dates, etc'!G436='rates, dates, etc'!AJ5,'rates, dates, etc'!G437,'rates, dates, etc'!H437)</f>
        <v>0.37</v>
      </c>
      <c r="U78" s="9">
        <f>IF('rates, dates, etc'!H436='rates, dates, etc'!AK5,'rates, dates, etc'!H437,'rates, dates, etc'!I437)</f>
        <v>0.37</v>
      </c>
      <c r="V78" s="9">
        <f>IF('rates, dates, etc'!I436='rates, dates, etc'!AL5,'rates, dates, etc'!I437,'rates, dates, etc'!J437)</f>
        <v>0.37</v>
      </c>
      <c r="W78" s="9">
        <f>IF('rates, dates, etc'!J436='rates, dates, etc'!AM5,'rates, dates, etc'!J437,'rates, dates, etc'!K437)</f>
        <v>0.37</v>
      </c>
      <c r="X78" s="9">
        <f>IF('rates, dates, etc'!K436='rates, dates, etc'!AN5,'rates, dates, etc'!K437,'rates, dates, etc'!L437)</f>
        <v>0.37</v>
      </c>
      <c r="Y78" s="9">
        <f>IF('rates, dates, etc'!L436='rates, dates, etc'!AO5,'rates, dates, etc'!L437,'rates, dates, etc'!M437)</f>
        <v>0.37</v>
      </c>
      <c r="Z78" s="9">
        <f>IF('rates, dates, etc'!M436='rates, dates, etc'!AP5,'rates, dates, etc'!M437,'rates, dates, etc'!N437)</f>
        <v>0.37</v>
      </c>
    </row>
    <row r="79" spans="14:26" x14ac:dyDescent="0.2">
      <c r="O79" s="1"/>
      <c r="P79" s="1"/>
    </row>
    <row r="80" spans="14:26" ht="10.5" x14ac:dyDescent="0.25">
      <c r="N80" s="64" t="s">
        <v>104</v>
      </c>
      <c r="O80" s="45" t="str">
        <f>+'rates, dates, etc'!AE4</f>
        <v>FY2024</v>
      </c>
      <c r="P80" s="45" t="str">
        <f>+'rates, dates, etc'!AF4</f>
        <v>FY2025</v>
      </c>
      <c r="Q80" s="45" t="str">
        <f>+'rates, dates, etc'!AG4</f>
        <v>FY2026</v>
      </c>
      <c r="R80" s="45" t="str">
        <f>+'rates, dates, etc'!AH4</f>
        <v>FY2027</v>
      </c>
      <c r="S80" s="45" t="str">
        <f>+'rates, dates, etc'!AI4</f>
        <v>FY2028</v>
      </c>
      <c r="T80" s="45" t="str">
        <f>+'rates, dates, etc'!AJ4</f>
        <v>FY2029</v>
      </c>
      <c r="U80" s="45" t="str">
        <f>+'rates, dates, etc'!AK4</f>
        <v>FY2030</v>
      </c>
      <c r="V80" s="45" t="str">
        <f>+'rates, dates, etc'!AL4</f>
        <v>FY2031</v>
      </c>
      <c r="W80" s="45" t="str">
        <f>+'rates, dates, etc'!AM4</f>
        <v>FY2032</v>
      </c>
      <c r="X80" s="45" t="str">
        <f>+'rates, dates, etc'!AN4</f>
        <v>FY2033</v>
      </c>
      <c r="Y80" s="45" t="str">
        <f>+'rates, dates, etc'!AO4</f>
        <v>FY2034</v>
      </c>
      <c r="Z80" s="45" t="str">
        <f>+'rates, dates, etc'!AP4</f>
        <v>FY2035</v>
      </c>
    </row>
    <row r="81" spans="14:26" x14ac:dyDescent="0.2">
      <c r="N81" s="2" t="str">
        <f>+'rates, dates, etc'!A437</f>
        <v xml:space="preserve">   Endowed - Senior Personnel</v>
      </c>
      <c r="O81" s="123">
        <f>+'rates, dates, etc'!B437</f>
        <v>0.37</v>
      </c>
      <c r="P81" s="123">
        <f>+'rates, dates, etc'!C437</f>
        <v>0.37</v>
      </c>
      <c r="Q81" s="123">
        <f>+'rates, dates, etc'!D437</f>
        <v>0.37</v>
      </c>
      <c r="R81" s="123">
        <f>+'rates, dates, etc'!E437</f>
        <v>0.37</v>
      </c>
      <c r="S81" s="123">
        <f>+'rates, dates, etc'!F437</f>
        <v>0.37</v>
      </c>
      <c r="T81" s="123">
        <f>+'rates, dates, etc'!G437</f>
        <v>0.37</v>
      </c>
      <c r="U81" s="123">
        <f>+'rates, dates, etc'!H437</f>
        <v>0.37</v>
      </c>
      <c r="V81" s="123">
        <f>+'rates, dates, etc'!I437</f>
        <v>0.37</v>
      </c>
      <c r="W81" s="123">
        <f>+'rates, dates, etc'!J437</f>
        <v>0.37</v>
      </c>
      <c r="X81" s="123">
        <f>+'rates, dates, etc'!K437</f>
        <v>0.37</v>
      </c>
      <c r="Y81" s="123">
        <f>+'rates, dates, etc'!L437</f>
        <v>0.37</v>
      </c>
      <c r="Z81" s="123">
        <f>+'rates, dates, etc'!M437</f>
        <v>0.37</v>
      </c>
    </row>
    <row r="82" spans="14:26" x14ac:dyDescent="0.2">
      <c r="N82" s="2" t="str">
        <f>+'rates, dates, etc'!A438</f>
        <v xml:space="preserve">   Endowed - Post Doc</v>
      </c>
      <c r="O82" s="123">
        <f>+'rates, dates, etc'!B438</f>
        <v>0.37</v>
      </c>
      <c r="P82" s="123">
        <f>+'rates, dates, etc'!C438</f>
        <v>0.37</v>
      </c>
      <c r="Q82" s="123">
        <f>+'rates, dates, etc'!D438</f>
        <v>0.37</v>
      </c>
      <c r="R82" s="123">
        <f>+'rates, dates, etc'!E438</f>
        <v>0.37</v>
      </c>
      <c r="S82" s="123">
        <f>+'rates, dates, etc'!F438</f>
        <v>0.37</v>
      </c>
      <c r="T82" s="123">
        <f>+'rates, dates, etc'!G438</f>
        <v>0.37</v>
      </c>
      <c r="U82" s="123">
        <f>+'rates, dates, etc'!H438</f>
        <v>0.37</v>
      </c>
      <c r="V82" s="123">
        <f>+'rates, dates, etc'!I438</f>
        <v>0.37</v>
      </c>
      <c r="W82" s="123">
        <f>+'rates, dates, etc'!J438</f>
        <v>0.37</v>
      </c>
      <c r="X82" s="123">
        <f>+'rates, dates, etc'!K438</f>
        <v>0.37</v>
      </c>
      <c r="Y82" s="123">
        <f>+'rates, dates, etc'!L438</f>
        <v>0.37</v>
      </c>
      <c r="Z82" s="123">
        <f>+'rates, dates, etc'!M438</f>
        <v>0.37</v>
      </c>
    </row>
    <row r="83" spans="14:26" x14ac:dyDescent="0.2">
      <c r="N83" s="2" t="str">
        <f>+'rates, dates, etc'!A439</f>
        <v xml:space="preserve">   Endowed - Other Employee</v>
      </c>
      <c r="O83" s="123">
        <f>+'rates, dates, etc'!B439</f>
        <v>0.37</v>
      </c>
      <c r="P83" s="123">
        <f>+'rates, dates, etc'!C439</f>
        <v>0.37</v>
      </c>
      <c r="Q83" s="123">
        <f>+'rates, dates, etc'!D439</f>
        <v>0.37</v>
      </c>
      <c r="R83" s="123">
        <f>+'rates, dates, etc'!E439</f>
        <v>0.37</v>
      </c>
      <c r="S83" s="123">
        <f>+'rates, dates, etc'!F439</f>
        <v>0.37</v>
      </c>
      <c r="T83" s="123">
        <f>+'rates, dates, etc'!G439</f>
        <v>0.37</v>
      </c>
      <c r="U83" s="123">
        <f>+'rates, dates, etc'!H439</f>
        <v>0.37</v>
      </c>
      <c r="V83" s="123">
        <f>+'rates, dates, etc'!I439</f>
        <v>0.37</v>
      </c>
      <c r="W83" s="123">
        <f>+'rates, dates, etc'!J439</f>
        <v>0.37</v>
      </c>
      <c r="X83" s="123">
        <f>+'rates, dates, etc'!K439</f>
        <v>0.37</v>
      </c>
      <c r="Y83" s="123">
        <f>+'rates, dates, etc'!L439</f>
        <v>0.37</v>
      </c>
      <c r="Z83" s="123">
        <f>+'rates, dates, etc'!M439</f>
        <v>0.37</v>
      </c>
    </row>
    <row r="85" spans="14:26" ht="10.5" x14ac:dyDescent="0.25">
      <c r="N85" s="64" t="str">
        <f>+'rates, dates, etc'!A36</f>
        <v/>
      </c>
      <c r="O85" s="1" t="str">
        <f>+'rates, dates, etc'!B36</f>
        <v/>
      </c>
      <c r="P85" s="1" t="str">
        <f>+'rates, dates, etc'!C36</f>
        <v/>
      </c>
      <c r="Q85" s="1" t="str">
        <f>+'rates, dates, etc'!D36</f>
        <v/>
      </c>
      <c r="R85" s="1" t="str">
        <f>+'rates, dates, etc'!E36</f>
        <v/>
      </c>
      <c r="S85" s="1" t="str">
        <f>+'rates, dates, etc'!F36</f>
        <v/>
      </c>
      <c r="T85" s="1" t="str">
        <f>+'rates, dates, etc'!G36</f>
        <v/>
      </c>
      <c r="U85" s="1" t="str">
        <f>+'rates, dates, etc'!H36</f>
        <v/>
      </c>
      <c r="V85" s="1" t="str">
        <f>+'rates, dates, etc'!I36</f>
        <v/>
      </c>
      <c r="W85" s="1" t="str">
        <f>+'rates, dates, etc'!J36</f>
        <v/>
      </c>
      <c r="X85" s="1" t="str">
        <f>+'rates, dates, etc'!K36</f>
        <v/>
      </c>
      <c r="Y85" s="1" t="str">
        <f>+'rates, dates, etc'!L36</f>
        <v/>
      </c>
      <c r="Z85" s="1" t="str">
        <f>+'rates, dates, etc'!M36</f>
        <v/>
      </c>
    </row>
    <row r="86" spans="14:26" ht="10.5" x14ac:dyDescent="0.25">
      <c r="N86" s="64" t="str">
        <f>+'rates, dates, etc'!A440</f>
        <v>Cornell IDC Rate - Endowed College</v>
      </c>
      <c r="O86" s="1">
        <f>+'rates, dates, etc'!B440</f>
        <v>0.64</v>
      </c>
      <c r="P86" s="1">
        <f>+'rates, dates, etc'!C440</f>
        <v>0.64</v>
      </c>
      <c r="Q86" s="1">
        <f>+'rates, dates, etc'!D440</f>
        <v>0.64</v>
      </c>
      <c r="R86" s="1">
        <f>+'rates, dates, etc'!E440</f>
        <v>0.64</v>
      </c>
      <c r="S86" s="1">
        <f>+'rates, dates, etc'!F440</f>
        <v>0.64</v>
      </c>
      <c r="T86" s="1">
        <f>+'rates, dates, etc'!G440</f>
        <v>0.64</v>
      </c>
      <c r="U86" s="1">
        <f>+'rates, dates, etc'!H440</f>
        <v>0.64</v>
      </c>
      <c r="V86" s="1">
        <f>+'rates, dates, etc'!I440</f>
        <v>0.64</v>
      </c>
      <c r="W86" s="1">
        <f>+'rates, dates, etc'!J440</f>
        <v>0.64</v>
      </c>
      <c r="X86" s="1">
        <f>+'rates, dates, etc'!K440</f>
        <v>0.64</v>
      </c>
      <c r="Y86" s="1">
        <f>+'rates, dates, etc'!L440</f>
        <v>0.64</v>
      </c>
      <c r="Z86" s="1">
        <f>+'rates, dates, etc'!M440</f>
        <v>0.64</v>
      </c>
    </row>
    <row r="87" spans="14:26" x14ac:dyDescent="0.2">
      <c r="S87" s="5"/>
      <c r="T87" s="5"/>
    </row>
    <row r="88" spans="14:26" ht="10.5" x14ac:dyDescent="0.25">
      <c r="N88" s="47" t="str">
        <f>+'rates, dates, etc'!O34</f>
        <v>Pro-rating factor for 12 month appts.:</v>
      </c>
      <c r="O88" s="9" t="s">
        <v>36</v>
      </c>
      <c r="P88" s="9" t="s">
        <v>52</v>
      </c>
      <c r="S88" s="5"/>
      <c r="T88" s="5"/>
    </row>
    <row r="89" spans="14:26" x14ac:dyDescent="0.2">
      <c r="N89" s="48" t="s">
        <v>46</v>
      </c>
      <c r="O89" s="44">
        <f>+'rates, dates, etc'!P35</f>
        <v>12</v>
      </c>
      <c r="P89" s="44">
        <f>+'rates, dates, etc'!Q35</f>
        <v>1</v>
      </c>
      <c r="S89" s="5"/>
      <c r="T89" s="5"/>
    </row>
    <row r="90" spans="14:26" x14ac:dyDescent="0.2">
      <c r="N90" s="48" t="s">
        <v>47</v>
      </c>
      <c r="O90" s="44">
        <f>+'rates, dates, etc'!P36</f>
        <v>0</v>
      </c>
      <c r="P90" s="44">
        <f>+'rates, dates, etc'!Q36</f>
        <v>0</v>
      </c>
    </row>
    <row r="91" spans="14:26" x14ac:dyDescent="0.2">
      <c r="N91" s="46"/>
      <c r="O91" s="49">
        <f>SUM(O89:O90)</f>
        <v>12</v>
      </c>
      <c r="P91" s="1" t="s">
        <v>83</v>
      </c>
    </row>
    <row r="92" spans="14:26" x14ac:dyDescent="0.2">
      <c r="N92" s="1"/>
      <c r="O92" s="1"/>
      <c r="P92" s="1"/>
    </row>
  </sheetData>
  <pageMargins left="0.75" right="0.53" top="0.7" bottom="0.64" header="0.5" footer="0.5"/>
  <pageSetup scale="95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8146D0D4-A308-4C53-A066-586741C111A6}">
            <xm:f>'Budget Summary'!$L$104&lt;'Budget Summary'!$L$103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2" id="{B50DE8C2-5256-46E2-8CA4-95B1DC5C6379}">
            <xm:f>'Budget Summary'!$L$103&lt;'Budget Summary'!$L$104</xm:f>
            <x14:dxf>
              <font>
                <color rgb="FFFF0000"/>
              </font>
            </x14:dxf>
          </x14:cfRule>
          <xm:sqref>A63:L63</xm:sqref>
        </x14:conditionalFormatting>
        <x14:conditionalFormatting xmlns:xm="http://schemas.microsoft.com/office/excel/2006/main">
          <x14:cfRule type="expression" priority="3" stopIfTrue="1" id="{0E1AF3E0-93EE-4AB5-A918-1F3E81931FCA}">
            <xm:f>'rates, dates, etc'!$B$8="Yes"</xm:f>
            <x14:dxf>
              <font>
                <color rgb="FFFF0000"/>
              </font>
            </x14:dxf>
          </x14:cfRule>
          <xm:sqref>A64:L64</xm:sqref>
        </x14:conditionalFormatting>
        <x14:conditionalFormatting xmlns:xm="http://schemas.microsoft.com/office/excel/2006/main">
          <x14:cfRule type="expression" priority="1" stopIfTrue="1" id="{61D72330-31B5-4E32-9202-2D94F9530E5A}">
            <xm:f>'rates, dates, etc'!$B$8="Yes"</xm:f>
            <x14:dxf/>
          </x14:cfRule>
          <xm:sqref>A63:L63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T66"/>
  <sheetViews>
    <sheetView zoomScale="130" zoomScaleNormal="130" workbookViewId="0"/>
  </sheetViews>
  <sheetFormatPr defaultColWidth="9.1796875" defaultRowHeight="10" x14ac:dyDescent="0.2"/>
  <cols>
    <col min="1" max="1" width="33.453125" style="1" customWidth="1"/>
    <col min="2" max="11" width="8.453125" style="1" customWidth="1"/>
    <col min="12" max="12" width="9.54296875" style="2" bestFit="1" customWidth="1"/>
    <col min="13" max="13" width="9.7265625" style="2" customWidth="1"/>
    <col min="14" max="14" width="18.54296875" style="2" bestFit="1" customWidth="1"/>
    <col min="15" max="15" width="6.81640625" style="2" bestFit="1" customWidth="1"/>
    <col min="16" max="16" width="9.81640625" style="2" customWidth="1"/>
    <col min="17" max="18" width="9.7265625" style="1" customWidth="1"/>
    <col min="19" max="16384" width="9.1796875" style="1"/>
  </cols>
  <sheetData>
    <row r="1" spans="1:19" ht="13" x14ac:dyDescent="0.3">
      <c r="A1" s="67">
        <f>+'Lead Budget'!A1</f>
        <v>0</v>
      </c>
    </row>
    <row r="2" spans="1:19" ht="13" x14ac:dyDescent="0.3">
      <c r="A2" s="67" t="str">
        <f>+'Lead Budget'!A2</f>
        <v>NSF</v>
      </c>
    </row>
    <row r="3" spans="1:19" ht="12.75" customHeight="1" thickBot="1" x14ac:dyDescent="0.25"/>
    <row r="4" spans="1:19" ht="10.5" x14ac:dyDescent="0.25">
      <c r="A4" s="68"/>
      <c r="B4" s="246" t="s">
        <v>1</v>
      </c>
      <c r="C4" s="246" t="s">
        <v>2</v>
      </c>
      <c r="D4" s="246" t="s">
        <v>3</v>
      </c>
      <c r="E4" s="246" t="s">
        <v>39</v>
      </c>
      <c r="F4" s="246" t="s">
        <v>45</v>
      </c>
      <c r="G4" s="246" t="s">
        <v>185</v>
      </c>
      <c r="H4" s="246" t="s">
        <v>186</v>
      </c>
      <c r="I4" s="246" t="s">
        <v>187</v>
      </c>
      <c r="J4" s="246" t="s">
        <v>188</v>
      </c>
      <c r="K4" s="246" t="s">
        <v>189</v>
      </c>
      <c r="L4" s="242"/>
    </row>
    <row r="5" spans="1:19" ht="11" thickBot="1" x14ac:dyDescent="0.3">
      <c r="A5" s="68" t="str">
        <f ca="1">""&amp;MID('rates, dates, etc'!AR8,FIND("]",'rates, dates, etc'!AR8)+1,25)</f>
        <v>Consortium 1</v>
      </c>
      <c r="B5" s="243">
        <f>+'Lead Budget'!B5</f>
        <v>45108</v>
      </c>
      <c r="C5" s="243">
        <f>+'Lead Budget'!C5</f>
        <v>45474</v>
      </c>
      <c r="D5" s="243">
        <f>+'Lead Budget'!D5</f>
        <v>45839</v>
      </c>
      <c r="E5" s="243">
        <f>+'Lead Budget'!E5</f>
        <v>46204</v>
      </c>
      <c r="F5" s="243">
        <f>+'Lead Budget'!F5</f>
        <v>46569</v>
      </c>
      <c r="G5" s="243">
        <f>+'Lead Budget'!G5</f>
        <v>46935</v>
      </c>
      <c r="H5" s="243">
        <f>+'Lead Budget'!H5</f>
        <v>47300</v>
      </c>
      <c r="I5" s="243">
        <f>+'Lead Budget'!I5</f>
        <v>47665</v>
      </c>
      <c r="J5" s="243">
        <f>+'Lead Budget'!J5</f>
        <v>48030</v>
      </c>
      <c r="K5" s="243">
        <f>+'Lead Budget'!K5</f>
        <v>48396</v>
      </c>
      <c r="L5" s="244"/>
    </row>
    <row r="6" spans="1:19" ht="11" thickBot="1" x14ac:dyDescent="0.3">
      <c r="A6" s="71" t="s">
        <v>4</v>
      </c>
      <c r="B6" s="264">
        <f>+'Lead Budget'!B6</f>
        <v>45473</v>
      </c>
      <c r="C6" s="245">
        <f>+'Lead Budget'!C6</f>
        <v>45838</v>
      </c>
      <c r="D6" s="245">
        <f>+'Lead Budget'!D6</f>
        <v>46203</v>
      </c>
      <c r="E6" s="245">
        <f>+'Lead Budget'!E6</f>
        <v>46568</v>
      </c>
      <c r="F6" s="245">
        <f>+'Lead Budget'!F6</f>
        <v>46934</v>
      </c>
      <c r="G6" s="245">
        <f>+'Lead Budget'!G6</f>
        <v>47299</v>
      </c>
      <c r="H6" s="245">
        <f>+'Lead Budget'!H6</f>
        <v>47664</v>
      </c>
      <c r="I6" s="245">
        <f>+'Lead Budget'!I6</f>
        <v>48029</v>
      </c>
      <c r="J6" s="245">
        <f>+'Lead Budget'!J6</f>
        <v>48395</v>
      </c>
      <c r="K6" s="245">
        <f>+'Lead Budget'!K6</f>
        <v>48760</v>
      </c>
      <c r="L6" s="262" t="s">
        <v>5</v>
      </c>
    </row>
    <row r="7" spans="1:19" ht="10.5" x14ac:dyDescent="0.25">
      <c r="A7" s="74" t="s">
        <v>111</v>
      </c>
      <c r="B7" s="17"/>
      <c r="C7" s="17"/>
      <c r="D7" s="4"/>
      <c r="E7" s="4"/>
      <c r="F7" s="4"/>
      <c r="G7" s="4"/>
      <c r="H7" s="4"/>
      <c r="I7" s="4"/>
      <c r="J7" s="4"/>
      <c r="K7" s="4"/>
      <c r="L7" s="83" t="s">
        <v>6</v>
      </c>
    </row>
    <row r="8" spans="1:19" x14ac:dyDescent="0.2">
      <c r="A8" s="3" t="s">
        <v>65</v>
      </c>
      <c r="B8" s="344">
        <v>0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83">
        <f>SUM(B8:K8)</f>
        <v>0</v>
      </c>
      <c r="S8" s="5"/>
    </row>
    <row r="9" spans="1:19" x14ac:dyDescent="0.2">
      <c r="A9" s="3" t="s">
        <v>57</v>
      </c>
      <c r="B9" s="344">
        <v>0</v>
      </c>
      <c r="C9" s="344">
        <v>0</v>
      </c>
      <c r="D9" s="344">
        <v>0</v>
      </c>
      <c r="E9" s="344">
        <v>0</v>
      </c>
      <c r="F9" s="344">
        <v>0</v>
      </c>
      <c r="G9" s="344">
        <v>0</v>
      </c>
      <c r="H9" s="344">
        <v>0</v>
      </c>
      <c r="I9" s="344">
        <v>0</v>
      </c>
      <c r="J9" s="344">
        <v>0</v>
      </c>
      <c r="K9" s="344">
        <v>0</v>
      </c>
      <c r="L9" s="83">
        <f>SUM(B9:K9)</f>
        <v>0</v>
      </c>
    </row>
    <row r="10" spans="1:19" x14ac:dyDescent="0.2">
      <c r="A10" s="3" t="s">
        <v>197</v>
      </c>
      <c r="B10" s="344">
        <v>0</v>
      </c>
      <c r="C10" s="344">
        <v>0</v>
      </c>
      <c r="D10" s="344">
        <v>0</v>
      </c>
      <c r="E10" s="344">
        <v>0</v>
      </c>
      <c r="F10" s="344">
        <v>0</v>
      </c>
      <c r="G10" s="344">
        <v>0</v>
      </c>
      <c r="H10" s="344">
        <v>0</v>
      </c>
      <c r="I10" s="344">
        <v>0</v>
      </c>
      <c r="J10" s="344">
        <v>0</v>
      </c>
      <c r="K10" s="344">
        <v>0</v>
      </c>
      <c r="L10" s="83">
        <f t="shared" ref="L10:L11" si="0">SUM(B10:K10)</f>
        <v>0</v>
      </c>
    </row>
    <row r="11" spans="1:19" x14ac:dyDescent="0.2">
      <c r="A11" s="3" t="s">
        <v>198</v>
      </c>
      <c r="B11" s="344">
        <v>0</v>
      </c>
      <c r="C11" s="344">
        <v>0</v>
      </c>
      <c r="D11" s="344">
        <v>0</v>
      </c>
      <c r="E11" s="344">
        <v>0</v>
      </c>
      <c r="F11" s="344">
        <v>0</v>
      </c>
      <c r="G11" s="344">
        <v>0</v>
      </c>
      <c r="H11" s="344">
        <v>0</v>
      </c>
      <c r="I11" s="344">
        <v>0</v>
      </c>
      <c r="J11" s="344">
        <v>0</v>
      </c>
      <c r="K11" s="344">
        <v>0</v>
      </c>
      <c r="L11" s="83">
        <f t="shared" si="0"/>
        <v>0</v>
      </c>
    </row>
    <row r="12" spans="1:19" ht="10.5" thickBot="1" x14ac:dyDescent="0.25">
      <c r="A12" s="76" t="str">
        <f>CONCATENATE("Total ",A7)</f>
        <v>Total Senior Personnel Salary</v>
      </c>
      <c r="B12" s="6">
        <f>SUM(B7:B11)</f>
        <v>0</v>
      </c>
      <c r="C12" s="6">
        <f t="shared" ref="C12:K12" si="1">SUM(C7:C11)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86">
        <f>SUM(L7:L11)</f>
        <v>0</v>
      </c>
    </row>
    <row r="13" spans="1:19" ht="10.5" x14ac:dyDescent="0.25">
      <c r="A13" s="75" t="s">
        <v>112</v>
      </c>
      <c r="B13" s="17"/>
      <c r="C13" s="17"/>
      <c r="D13" s="4"/>
      <c r="E13" s="4"/>
      <c r="F13" s="4"/>
      <c r="G13" s="4"/>
      <c r="H13" s="4"/>
      <c r="I13" s="4"/>
      <c r="J13" s="4"/>
      <c r="K13" s="4"/>
      <c r="L13" s="83"/>
    </row>
    <row r="14" spans="1:19" x14ac:dyDescent="0.2">
      <c r="A14" s="3" t="s">
        <v>72</v>
      </c>
      <c r="B14" s="344">
        <v>0</v>
      </c>
      <c r="C14" s="344">
        <v>0</v>
      </c>
      <c r="D14" s="344">
        <v>0</v>
      </c>
      <c r="E14" s="344">
        <v>0</v>
      </c>
      <c r="F14" s="344">
        <v>0</v>
      </c>
      <c r="G14" s="344">
        <v>0</v>
      </c>
      <c r="H14" s="344">
        <v>0</v>
      </c>
      <c r="I14" s="344">
        <v>0</v>
      </c>
      <c r="J14" s="344">
        <v>0</v>
      </c>
      <c r="K14" s="344">
        <v>0</v>
      </c>
      <c r="L14" s="83">
        <f>SUM(B14:K14)</f>
        <v>0</v>
      </c>
    </row>
    <row r="15" spans="1:19" x14ac:dyDescent="0.2">
      <c r="A15" s="3" t="s">
        <v>70</v>
      </c>
      <c r="B15" s="344">
        <v>0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  <c r="I15" s="344">
        <v>0</v>
      </c>
      <c r="J15" s="344">
        <v>0</v>
      </c>
      <c r="K15" s="344">
        <v>0</v>
      </c>
      <c r="L15" s="83">
        <f t="shared" ref="L15:L19" si="2">SUM(B15:K15)</f>
        <v>0</v>
      </c>
    </row>
    <row r="16" spans="1:19" x14ac:dyDescent="0.2">
      <c r="A16" s="3" t="s">
        <v>73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>
        <v>0</v>
      </c>
      <c r="L16" s="83">
        <f t="shared" si="2"/>
        <v>0</v>
      </c>
    </row>
    <row r="17" spans="1:20" x14ac:dyDescent="0.2">
      <c r="A17" s="3" t="s">
        <v>74</v>
      </c>
      <c r="B17" s="344">
        <v>0</v>
      </c>
      <c r="C17" s="344">
        <v>0</v>
      </c>
      <c r="D17" s="344">
        <v>0</v>
      </c>
      <c r="E17" s="344">
        <v>0</v>
      </c>
      <c r="F17" s="344">
        <v>0</v>
      </c>
      <c r="G17" s="344">
        <v>0</v>
      </c>
      <c r="H17" s="344">
        <v>0</v>
      </c>
      <c r="I17" s="344">
        <v>0</v>
      </c>
      <c r="J17" s="344">
        <v>0</v>
      </c>
      <c r="K17" s="344">
        <v>0</v>
      </c>
      <c r="L17" s="83">
        <f t="shared" si="2"/>
        <v>0</v>
      </c>
    </row>
    <row r="18" spans="1:20" x14ac:dyDescent="0.2">
      <c r="A18" s="3" t="s">
        <v>29</v>
      </c>
      <c r="B18" s="344">
        <v>0</v>
      </c>
      <c r="C18" s="344">
        <v>0</v>
      </c>
      <c r="D18" s="344">
        <v>0</v>
      </c>
      <c r="E18" s="344">
        <v>0</v>
      </c>
      <c r="F18" s="344">
        <v>0</v>
      </c>
      <c r="G18" s="344">
        <v>0</v>
      </c>
      <c r="H18" s="344">
        <v>0</v>
      </c>
      <c r="I18" s="344">
        <v>0</v>
      </c>
      <c r="J18" s="344">
        <v>0</v>
      </c>
      <c r="K18" s="344">
        <v>0</v>
      </c>
      <c r="L18" s="83">
        <f t="shared" si="2"/>
        <v>0</v>
      </c>
    </row>
    <row r="19" spans="1:20" x14ac:dyDescent="0.2">
      <c r="A19" s="3" t="s">
        <v>199</v>
      </c>
      <c r="B19" s="344">
        <v>0</v>
      </c>
      <c r="C19" s="344">
        <v>0</v>
      </c>
      <c r="D19" s="344">
        <v>0</v>
      </c>
      <c r="E19" s="344">
        <v>0</v>
      </c>
      <c r="F19" s="344">
        <v>0</v>
      </c>
      <c r="G19" s="344">
        <v>0</v>
      </c>
      <c r="H19" s="344">
        <v>0</v>
      </c>
      <c r="I19" s="344">
        <v>0</v>
      </c>
      <c r="J19" s="344">
        <v>0</v>
      </c>
      <c r="K19" s="344">
        <v>0</v>
      </c>
      <c r="L19" s="83">
        <f t="shared" si="2"/>
        <v>0</v>
      </c>
      <c r="S19" s="5"/>
      <c r="T19" s="5"/>
    </row>
    <row r="20" spans="1:20" ht="10.5" thickBot="1" x14ac:dyDescent="0.25">
      <c r="A20" s="76" t="str">
        <f>CONCATENATE("Total ",A13)</f>
        <v>Total Other Personnel Salary</v>
      </c>
      <c r="B20" s="6">
        <f>SUM(B13:B19)</f>
        <v>0</v>
      </c>
      <c r="C20" s="6">
        <f t="shared" ref="C20:K20" si="3">SUM(C13:C19)</f>
        <v>0</v>
      </c>
      <c r="D20" s="6">
        <f>SUM(D13:D19)</f>
        <v>0</v>
      </c>
      <c r="E20" s="6">
        <f>SUM(E13:E19)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86">
        <f>SUM(L13:L19)</f>
        <v>0</v>
      </c>
    </row>
    <row r="21" spans="1:20" ht="10.5" x14ac:dyDescent="0.25">
      <c r="A21" s="77" t="s">
        <v>7</v>
      </c>
      <c r="B21" s="17" t="s">
        <v>6</v>
      </c>
      <c r="C21" s="17"/>
      <c r="D21" s="4"/>
      <c r="E21" s="4"/>
      <c r="F21" s="4"/>
      <c r="G21" s="4"/>
      <c r="H21" s="4"/>
      <c r="I21" s="4"/>
      <c r="J21" s="4"/>
      <c r="K21" s="4"/>
      <c r="L21" s="83"/>
    </row>
    <row r="22" spans="1:20" x14ac:dyDescent="0.2">
      <c r="A22" s="3" t="str">
        <f>+A8</f>
        <v>PI</v>
      </c>
      <c r="B22" s="344">
        <v>0</v>
      </c>
      <c r="C22" s="344">
        <v>0</v>
      </c>
      <c r="D22" s="344">
        <v>0</v>
      </c>
      <c r="E22" s="344">
        <v>0</v>
      </c>
      <c r="F22" s="344">
        <v>0</v>
      </c>
      <c r="G22" s="344">
        <v>0</v>
      </c>
      <c r="H22" s="344">
        <v>0</v>
      </c>
      <c r="I22" s="344">
        <v>0</v>
      </c>
      <c r="J22" s="344">
        <v>0</v>
      </c>
      <c r="K22" s="344">
        <v>0</v>
      </c>
      <c r="L22" s="83">
        <f>SUM(B22:K22)</f>
        <v>0</v>
      </c>
    </row>
    <row r="23" spans="1:20" x14ac:dyDescent="0.2">
      <c r="A23" s="3" t="s">
        <v>57</v>
      </c>
      <c r="B23" s="344">
        <v>0</v>
      </c>
      <c r="C23" s="344">
        <v>0</v>
      </c>
      <c r="D23" s="344">
        <v>0</v>
      </c>
      <c r="E23" s="344">
        <v>0</v>
      </c>
      <c r="F23" s="344">
        <v>0</v>
      </c>
      <c r="G23" s="344">
        <v>0</v>
      </c>
      <c r="H23" s="344">
        <v>0</v>
      </c>
      <c r="I23" s="344">
        <v>0</v>
      </c>
      <c r="J23" s="344">
        <v>0</v>
      </c>
      <c r="K23" s="344">
        <v>0</v>
      </c>
      <c r="L23" s="83">
        <f t="shared" ref="L23:L28" si="4">SUM(B23:K23)</f>
        <v>0</v>
      </c>
    </row>
    <row r="24" spans="1:20" x14ac:dyDescent="0.2">
      <c r="A24" s="3" t="s">
        <v>197</v>
      </c>
      <c r="B24" s="344">
        <v>0</v>
      </c>
      <c r="C24" s="344">
        <v>0</v>
      </c>
      <c r="D24" s="344">
        <v>0</v>
      </c>
      <c r="E24" s="344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0</v>
      </c>
      <c r="L24" s="83">
        <f t="shared" si="4"/>
        <v>0</v>
      </c>
    </row>
    <row r="25" spans="1:20" x14ac:dyDescent="0.2">
      <c r="A25" s="3" t="s">
        <v>198</v>
      </c>
      <c r="B25" s="344">
        <v>0</v>
      </c>
      <c r="C25" s="344">
        <v>0</v>
      </c>
      <c r="D25" s="344">
        <v>0</v>
      </c>
      <c r="E25" s="344">
        <v>0</v>
      </c>
      <c r="F25" s="344">
        <v>0</v>
      </c>
      <c r="G25" s="344">
        <v>0</v>
      </c>
      <c r="H25" s="344">
        <v>0</v>
      </c>
      <c r="I25" s="344">
        <v>0</v>
      </c>
      <c r="J25" s="344">
        <v>0</v>
      </c>
      <c r="K25" s="344">
        <v>0</v>
      </c>
      <c r="L25" s="83">
        <f t="shared" si="4"/>
        <v>0</v>
      </c>
    </row>
    <row r="26" spans="1:20" x14ac:dyDescent="0.2">
      <c r="A26" s="3" t="s">
        <v>72</v>
      </c>
      <c r="B26" s="344">
        <v>0</v>
      </c>
      <c r="C26" s="344">
        <v>0</v>
      </c>
      <c r="D26" s="344">
        <v>0</v>
      </c>
      <c r="E26" s="344">
        <v>0</v>
      </c>
      <c r="F26" s="344">
        <v>0</v>
      </c>
      <c r="G26" s="344">
        <v>0</v>
      </c>
      <c r="H26" s="344">
        <v>0</v>
      </c>
      <c r="I26" s="344">
        <v>0</v>
      </c>
      <c r="J26" s="344">
        <v>0</v>
      </c>
      <c r="K26" s="344">
        <v>0</v>
      </c>
      <c r="L26" s="83">
        <f t="shared" si="4"/>
        <v>0</v>
      </c>
    </row>
    <row r="27" spans="1:20" x14ac:dyDescent="0.2">
      <c r="A27" s="3" t="s">
        <v>74</v>
      </c>
      <c r="B27" s="344">
        <v>0</v>
      </c>
      <c r="C27" s="344">
        <v>0</v>
      </c>
      <c r="D27" s="344">
        <v>0</v>
      </c>
      <c r="E27" s="344">
        <v>0</v>
      </c>
      <c r="F27" s="344">
        <v>0</v>
      </c>
      <c r="G27" s="344">
        <v>0</v>
      </c>
      <c r="H27" s="344">
        <v>0</v>
      </c>
      <c r="I27" s="344">
        <v>0</v>
      </c>
      <c r="J27" s="344">
        <v>0</v>
      </c>
      <c r="K27" s="344">
        <v>0</v>
      </c>
      <c r="L27" s="83">
        <f t="shared" si="4"/>
        <v>0</v>
      </c>
      <c r="S27" s="5"/>
      <c r="T27" s="5"/>
    </row>
    <row r="28" spans="1:20" x14ac:dyDescent="0.2">
      <c r="A28" s="3" t="s">
        <v>29</v>
      </c>
      <c r="B28" s="344">
        <v>0</v>
      </c>
      <c r="C28" s="344">
        <v>0</v>
      </c>
      <c r="D28" s="344">
        <v>0</v>
      </c>
      <c r="E28" s="344">
        <v>0</v>
      </c>
      <c r="F28" s="344">
        <v>0</v>
      </c>
      <c r="G28" s="344">
        <v>0</v>
      </c>
      <c r="H28" s="344">
        <v>0</v>
      </c>
      <c r="I28" s="344">
        <v>0</v>
      </c>
      <c r="J28" s="344">
        <v>0</v>
      </c>
      <c r="K28" s="344">
        <v>0</v>
      </c>
      <c r="L28" s="83">
        <f t="shared" si="4"/>
        <v>0</v>
      </c>
      <c r="S28" s="5"/>
      <c r="T28" s="5"/>
    </row>
    <row r="29" spans="1:20" ht="10.5" thickBot="1" x14ac:dyDescent="0.25">
      <c r="A29" s="76" t="s">
        <v>79</v>
      </c>
      <c r="B29" s="6">
        <f>SUM(B21:B28)</f>
        <v>0</v>
      </c>
      <c r="C29" s="6">
        <f>SUM(C21:C28)</f>
        <v>0</v>
      </c>
      <c r="D29" s="6">
        <f>SUM(D21:D28)</f>
        <v>0</v>
      </c>
      <c r="E29" s="6">
        <f>SUM(E21:E28)</f>
        <v>0</v>
      </c>
      <c r="F29" s="6">
        <f>SUM(F21:F28)</f>
        <v>0</v>
      </c>
      <c r="G29" s="6">
        <f t="shared" ref="G29:K29" si="5">SUM(G21:G28)</f>
        <v>0</v>
      </c>
      <c r="H29" s="6">
        <f t="shared" si="5"/>
        <v>0</v>
      </c>
      <c r="I29" s="6">
        <f t="shared" si="5"/>
        <v>0</v>
      </c>
      <c r="J29" s="6">
        <f t="shared" si="5"/>
        <v>0</v>
      </c>
      <c r="K29" s="6">
        <f t="shared" si="5"/>
        <v>0</v>
      </c>
      <c r="L29" s="86">
        <f>SUM(L21:L28)</f>
        <v>0</v>
      </c>
      <c r="S29" s="5"/>
      <c r="T29" s="5"/>
    </row>
    <row r="30" spans="1:20" ht="11" thickBot="1" x14ac:dyDescent="0.3">
      <c r="A30" s="130" t="s">
        <v>108</v>
      </c>
      <c r="B30" s="131">
        <f>+B12+B20+B29</f>
        <v>0</v>
      </c>
      <c r="C30" s="131">
        <f>+C12+C20+C29</f>
        <v>0</v>
      </c>
      <c r="D30" s="131">
        <f>+D12+D20+D29</f>
        <v>0</v>
      </c>
      <c r="E30" s="131">
        <f>+E12+E20+E29</f>
        <v>0</v>
      </c>
      <c r="F30" s="131">
        <f>+F12+F20+F29</f>
        <v>0</v>
      </c>
      <c r="G30" s="131">
        <f t="shared" ref="G30:K30" si="6">+G12+G20+G29</f>
        <v>0</v>
      </c>
      <c r="H30" s="131">
        <f t="shared" si="6"/>
        <v>0</v>
      </c>
      <c r="I30" s="131">
        <f t="shared" si="6"/>
        <v>0</v>
      </c>
      <c r="J30" s="131">
        <f t="shared" si="6"/>
        <v>0</v>
      </c>
      <c r="K30" s="131">
        <f t="shared" si="6"/>
        <v>0</v>
      </c>
      <c r="L30" s="132">
        <f>+L12+L20+L29</f>
        <v>0</v>
      </c>
      <c r="S30" s="5"/>
      <c r="T30" s="5"/>
    </row>
    <row r="31" spans="1:20" ht="10.5" x14ac:dyDescent="0.25">
      <c r="A31" s="77" t="s">
        <v>25</v>
      </c>
      <c r="B31" s="17"/>
      <c r="C31" s="17"/>
      <c r="D31" s="4"/>
      <c r="E31" s="4"/>
      <c r="F31" s="4"/>
      <c r="G31" s="4"/>
      <c r="H31" s="4"/>
      <c r="I31" s="4"/>
      <c r="J31" s="4"/>
      <c r="K31" s="4"/>
      <c r="L31" s="83"/>
      <c r="S31" s="5"/>
      <c r="T31" s="5"/>
    </row>
    <row r="32" spans="1:20" x14ac:dyDescent="0.2">
      <c r="A32" s="3" t="s">
        <v>62</v>
      </c>
      <c r="B32" s="344">
        <v>0</v>
      </c>
      <c r="C32" s="344">
        <v>0</v>
      </c>
      <c r="D32" s="344">
        <v>0</v>
      </c>
      <c r="E32" s="344">
        <v>0</v>
      </c>
      <c r="F32" s="344">
        <v>0</v>
      </c>
      <c r="G32" s="344">
        <v>0</v>
      </c>
      <c r="H32" s="344">
        <v>0</v>
      </c>
      <c r="I32" s="344">
        <v>0</v>
      </c>
      <c r="J32" s="344">
        <v>0</v>
      </c>
      <c r="K32" s="344">
        <v>0</v>
      </c>
      <c r="L32" s="83">
        <f>SUM(B32:K32)</f>
        <v>0</v>
      </c>
    </row>
    <row r="33" spans="1:20" x14ac:dyDescent="0.2">
      <c r="A33" s="3" t="s">
        <v>29</v>
      </c>
      <c r="B33" s="344">
        <v>0</v>
      </c>
      <c r="C33" s="344">
        <v>0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83">
        <f>SUM(B33:K33)</f>
        <v>0</v>
      </c>
    </row>
    <row r="34" spans="1:20" ht="10.5" thickBot="1" x14ac:dyDescent="0.25">
      <c r="A34" s="76" t="s">
        <v>26</v>
      </c>
      <c r="B34" s="6">
        <f>SUM(B31:B33)</f>
        <v>0</v>
      </c>
      <c r="C34" s="6">
        <f>SUM(C31:C33)</f>
        <v>0</v>
      </c>
      <c r="D34" s="6">
        <f>SUM(D31:D33)</f>
        <v>0</v>
      </c>
      <c r="E34" s="6">
        <f t="shared" ref="E34:K34" si="7">SUM(E31:E33)</f>
        <v>0</v>
      </c>
      <c r="F34" s="6">
        <f t="shared" si="7"/>
        <v>0</v>
      </c>
      <c r="G34" s="6">
        <f t="shared" si="7"/>
        <v>0</v>
      </c>
      <c r="H34" s="6">
        <f t="shared" si="7"/>
        <v>0</v>
      </c>
      <c r="I34" s="6">
        <f t="shared" si="7"/>
        <v>0</v>
      </c>
      <c r="J34" s="6">
        <f t="shared" si="7"/>
        <v>0</v>
      </c>
      <c r="K34" s="6">
        <f t="shared" si="7"/>
        <v>0</v>
      </c>
      <c r="L34" s="86">
        <f>SUM(L31:L33)</f>
        <v>0</v>
      </c>
    </row>
    <row r="35" spans="1:20" ht="10.5" x14ac:dyDescent="0.25">
      <c r="A35" s="77" t="s">
        <v>34</v>
      </c>
      <c r="B35" s="17"/>
      <c r="C35" s="17"/>
      <c r="D35" s="4"/>
      <c r="E35" s="4"/>
      <c r="F35" s="4"/>
      <c r="G35" s="4"/>
      <c r="H35" s="4"/>
      <c r="I35" s="4"/>
      <c r="J35" s="4"/>
      <c r="K35" s="4"/>
      <c r="L35" s="83"/>
    </row>
    <row r="36" spans="1:20" x14ac:dyDescent="0.2">
      <c r="A36" s="3" t="s">
        <v>10</v>
      </c>
      <c r="B36" s="344">
        <v>0</v>
      </c>
      <c r="C36" s="344">
        <v>0</v>
      </c>
      <c r="D36" s="344">
        <v>0</v>
      </c>
      <c r="E36" s="344">
        <v>0</v>
      </c>
      <c r="F36" s="344">
        <v>0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83">
        <f>SUM(B36:K36)</f>
        <v>0</v>
      </c>
      <c r="S36" s="5"/>
      <c r="T36" s="5"/>
    </row>
    <row r="37" spans="1:20" x14ac:dyDescent="0.2">
      <c r="A37" s="3" t="s">
        <v>11</v>
      </c>
      <c r="B37" s="344">
        <v>0</v>
      </c>
      <c r="C37" s="344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0</v>
      </c>
      <c r="J37" s="344">
        <v>0</v>
      </c>
      <c r="K37" s="344">
        <v>0</v>
      </c>
      <c r="L37" s="83">
        <f>SUM(B37:K37)</f>
        <v>0</v>
      </c>
      <c r="S37" s="5"/>
      <c r="T37" s="5"/>
    </row>
    <row r="38" spans="1:20" ht="10.5" thickBot="1" x14ac:dyDescent="0.25">
      <c r="A38" s="76" t="s">
        <v>12</v>
      </c>
      <c r="B38" s="6">
        <f>SUM(B35:B37)</f>
        <v>0</v>
      </c>
      <c r="C38" s="6">
        <f>SUM(C35:C37)</f>
        <v>0</v>
      </c>
      <c r="D38" s="6">
        <f>SUM(D35:D37)</f>
        <v>0</v>
      </c>
      <c r="E38" s="6">
        <f t="shared" ref="E38:K38" si="8">SUM(E35:E37)</f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f t="shared" si="8"/>
        <v>0</v>
      </c>
      <c r="K38" s="6">
        <f t="shared" si="8"/>
        <v>0</v>
      </c>
      <c r="L38" s="86">
        <f>SUM(L35:L37)</f>
        <v>0</v>
      </c>
      <c r="S38" s="5"/>
      <c r="T38" s="5"/>
    </row>
    <row r="39" spans="1:20" ht="10.5" x14ac:dyDescent="0.25">
      <c r="A39" s="77" t="s">
        <v>27</v>
      </c>
      <c r="B39" s="17"/>
      <c r="C39" s="17"/>
      <c r="D39" s="4"/>
      <c r="E39" s="4"/>
      <c r="F39" s="4"/>
      <c r="G39" s="4"/>
      <c r="H39" s="4"/>
      <c r="I39" s="4"/>
      <c r="J39" s="4"/>
      <c r="K39" s="4"/>
      <c r="L39" s="83"/>
      <c r="S39" s="5"/>
      <c r="T39" s="5"/>
    </row>
    <row r="40" spans="1:20" x14ac:dyDescent="0.2">
      <c r="A40" s="3" t="s">
        <v>75</v>
      </c>
      <c r="B40" s="344">
        <v>0</v>
      </c>
      <c r="C40" s="344">
        <v>0</v>
      </c>
      <c r="D40" s="344">
        <v>0</v>
      </c>
      <c r="E40" s="344">
        <v>0</v>
      </c>
      <c r="F40" s="344">
        <v>0</v>
      </c>
      <c r="G40" s="344">
        <v>0</v>
      </c>
      <c r="H40" s="344">
        <v>0</v>
      </c>
      <c r="I40" s="344">
        <v>0</v>
      </c>
      <c r="J40" s="344">
        <v>0</v>
      </c>
      <c r="K40" s="344">
        <v>0</v>
      </c>
      <c r="L40" s="83">
        <f>SUM(B40:K40)</f>
        <v>0</v>
      </c>
      <c r="S40" s="5"/>
      <c r="T40" s="5"/>
    </row>
    <row r="41" spans="1:20" x14ac:dyDescent="0.2">
      <c r="A41" s="3" t="s">
        <v>42</v>
      </c>
      <c r="B41" s="344">
        <v>0</v>
      </c>
      <c r="C41" s="344">
        <v>0</v>
      </c>
      <c r="D41" s="344">
        <v>0</v>
      </c>
      <c r="E41" s="344">
        <v>0</v>
      </c>
      <c r="F41" s="344">
        <v>0</v>
      </c>
      <c r="G41" s="344">
        <v>0</v>
      </c>
      <c r="H41" s="344">
        <v>0</v>
      </c>
      <c r="I41" s="344">
        <v>0</v>
      </c>
      <c r="J41" s="344">
        <v>0</v>
      </c>
      <c r="K41" s="344">
        <v>0</v>
      </c>
      <c r="L41" s="83">
        <f t="shared" ref="L41:L44" si="9">SUM(B41:K41)</f>
        <v>0</v>
      </c>
      <c r="S41" s="5"/>
      <c r="T41" s="5"/>
    </row>
    <row r="42" spans="1:20" x14ac:dyDescent="0.2">
      <c r="A42" s="3" t="s">
        <v>34</v>
      </c>
      <c r="B42" s="344">
        <v>0</v>
      </c>
      <c r="C42" s="344">
        <v>0</v>
      </c>
      <c r="D42" s="344">
        <v>0</v>
      </c>
      <c r="E42" s="344">
        <v>0</v>
      </c>
      <c r="F42" s="344">
        <v>0</v>
      </c>
      <c r="G42" s="344">
        <v>0</v>
      </c>
      <c r="H42" s="344">
        <v>0</v>
      </c>
      <c r="I42" s="344">
        <v>0</v>
      </c>
      <c r="J42" s="344">
        <v>0</v>
      </c>
      <c r="K42" s="344">
        <v>0</v>
      </c>
      <c r="L42" s="83">
        <f t="shared" si="9"/>
        <v>0</v>
      </c>
    </row>
    <row r="43" spans="1:20" x14ac:dyDescent="0.2">
      <c r="A43" s="3" t="s">
        <v>43</v>
      </c>
      <c r="B43" s="344">
        <v>0</v>
      </c>
      <c r="C43" s="344">
        <v>0</v>
      </c>
      <c r="D43" s="344">
        <v>0</v>
      </c>
      <c r="E43" s="344">
        <v>0</v>
      </c>
      <c r="F43" s="344">
        <v>0</v>
      </c>
      <c r="G43" s="344">
        <v>0</v>
      </c>
      <c r="H43" s="344">
        <v>0</v>
      </c>
      <c r="I43" s="344">
        <v>0</v>
      </c>
      <c r="J43" s="344">
        <v>0</v>
      </c>
      <c r="K43" s="344">
        <v>0</v>
      </c>
      <c r="L43" s="83">
        <f t="shared" si="9"/>
        <v>0</v>
      </c>
    </row>
    <row r="44" spans="1:20" x14ac:dyDescent="0.2">
      <c r="A44" s="3" t="s">
        <v>29</v>
      </c>
      <c r="B44" s="344">
        <v>0</v>
      </c>
      <c r="C44" s="344">
        <v>0</v>
      </c>
      <c r="D44" s="344">
        <v>0</v>
      </c>
      <c r="E44" s="344">
        <v>0</v>
      </c>
      <c r="F44" s="344">
        <v>0</v>
      </c>
      <c r="G44" s="344">
        <v>0</v>
      </c>
      <c r="H44" s="344">
        <v>0</v>
      </c>
      <c r="I44" s="344">
        <v>0</v>
      </c>
      <c r="J44" s="344">
        <v>0</v>
      </c>
      <c r="K44" s="344">
        <v>0</v>
      </c>
      <c r="L44" s="83">
        <f t="shared" si="9"/>
        <v>0</v>
      </c>
    </row>
    <row r="45" spans="1:20" ht="10.5" thickBot="1" x14ac:dyDescent="0.25">
      <c r="A45" s="76" t="s">
        <v>28</v>
      </c>
      <c r="B45" s="6">
        <f>SUM(B39:B44)</f>
        <v>0</v>
      </c>
      <c r="C45" s="6">
        <f>SUM(C39:C44)</f>
        <v>0</v>
      </c>
      <c r="D45" s="6">
        <f>SUM(D39:D44)</f>
        <v>0</v>
      </c>
      <c r="E45" s="6">
        <f t="shared" ref="E45:K45" si="10">SUM(E39:E44)</f>
        <v>0</v>
      </c>
      <c r="F45" s="6">
        <f t="shared" si="10"/>
        <v>0</v>
      </c>
      <c r="G45" s="6">
        <f t="shared" si="10"/>
        <v>0</v>
      </c>
      <c r="H45" s="6">
        <f t="shared" si="10"/>
        <v>0</v>
      </c>
      <c r="I45" s="6">
        <f t="shared" si="10"/>
        <v>0</v>
      </c>
      <c r="J45" s="6">
        <f t="shared" si="10"/>
        <v>0</v>
      </c>
      <c r="K45" s="6">
        <f t="shared" si="10"/>
        <v>0</v>
      </c>
      <c r="L45" s="86">
        <f>SUM(L39:L44)</f>
        <v>0</v>
      </c>
    </row>
    <row r="46" spans="1:20" ht="10.5" x14ac:dyDescent="0.25">
      <c r="A46" s="77" t="s">
        <v>13</v>
      </c>
      <c r="B46" s="17"/>
      <c r="C46" s="17"/>
      <c r="D46" s="4"/>
      <c r="E46" s="4"/>
      <c r="F46" s="4"/>
      <c r="G46" s="4"/>
      <c r="H46" s="4"/>
      <c r="I46" s="4"/>
      <c r="J46" s="4"/>
      <c r="K46" s="4"/>
      <c r="L46" s="83"/>
    </row>
    <row r="47" spans="1:20" x14ac:dyDescent="0.2">
      <c r="A47" s="3" t="s">
        <v>14</v>
      </c>
      <c r="B47" s="344">
        <v>0</v>
      </c>
      <c r="C47" s="344">
        <v>0</v>
      </c>
      <c r="D47" s="344">
        <v>0</v>
      </c>
      <c r="E47" s="344">
        <v>0</v>
      </c>
      <c r="F47" s="344">
        <v>0</v>
      </c>
      <c r="G47" s="344">
        <v>0</v>
      </c>
      <c r="H47" s="344">
        <v>0</v>
      </c>
      <c r="I47" s="344">
        <v>0</v>
      </c>
      <c r="J47" s="344">
        <v>0</v>
      </c>
      <c r="K47" s="344">
        <v>0</v>
      </c>
      <c r="L47" s="83">
        <f>SUM(B47:K47)</f>
        <v>0</v>
      </c>
    </row>
    <row r="48" spans="1:20" x14ac:dyDescent="0.2">
      <c r="A48" s="3" t="s">
        <v>76</v>
      </c>
      <c r="B48" s="344">
        <v>0</v>
      </c>
      <c r="C48" s="344">
        <v>0</v>
      </c>
      <c r="D48" s="344">
        <v>0</v>
      </c>
      <c r="E48" s="344">
        <v>0</v>
      </c>
      <c r="F48" s="344">
        <v>0</v>
      </c>
      <c r="G48" s="344">
        <v>0</v>
      </c>
      <c r="H48" s="344">
        <v>0</v>
      </c>
      <c r="I48" s="344">
        <v>0</v>
      </c>
      <c r="J48" s="344">
        <v>0</v>
      </c>
      <c r="K48" s="344">
        <v>0</v>
      </c>
      <c r="L48" s="83">
        <f t="shared" ref="L48:L53" si="11">SUM(B48:K48)</f>
        <v>0</v>
      </c>
    </row>
    <row r="49" spans="1:20" x14ac:dyDescent="0.2">
      <c r="A49" s="3" t="s">
        <v>15</v>
      </c>
      <c r="B49" s="344">
        <v>0</v>
      </c>
      <c r="C49" s="344">
        <v>0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83">
        <f t="shared" si="11"/>
        <v>0</v>
      </c>
    </row>
    <row r="50" spans="1:20" x14ac:dyDescent="0.2">
      <c r="A50" s="3" t="s">
        <v>77</v>
      </c>
      <c r="B50" s="344">
        <v>0</v>
      </c>
      <c r="C50" s="344">
        <v>0</v>
      </c>
      <c r="D50" s="344">
        <v>0</v>
      </c>
      <c r="E50" s="344">
        <v>0</v>
      </c>
      <c r="F50" s="344">
        <v>0</v>
      </c>
      <c r="G50" s="344">
        <v>0</v>
      </c>
      <c r="H50" s="344">
        <v>0</v>
      </c>
      <c r="I50" s="344">
        <v>0</v>
      </c>
      <c r="J50" s="344">
        <v>0</v>
      </c>
      <c r="K50" s="344">
        <v>0</v>
      </c>
      <c r="L50" s="83">
        <f t="shared" si="11"/>
        <v>0</v>
      </c>
    </row>
    <row r="51" spans="1:20" x14ac:dyDescent="0.2">
      <c r="A51" s="3" t="s">
        <v>41</v>
      </c>
      <c r="B51" s="344">
        <v>0</v>
      </c>
      <c r="C51" s="344">
        <v>0</v>
      </c>
      <c r="D51" s="344">
        <v>0</v>
      </c>
      <c r="E51" s="344">
        <v>0</v>
      </c>
      <c r="F51" s="344">
        <v>0</v>
      </c>
      <c r="G51" s="344">
        <v>0</v>
      </c>
      <c r="H51" s="344">
        <v>0</v>
      </c>
      <c r="I51" s="344">
        <v>0</v>
      </c>
      <c r="J51" s="344">
        <v>0</v>
      </c>
      <c r="K51" s="344">
        <v>0</v>
      </c>
      <c r="L51" s="83">
        <f t="shared" si="11"/>
        <v>0</v>
      </c>
    </row>
    <row r="52" spans="1:20" x14ac:dyDescent="0.2">
      <c r="A52" s="3" t="s">
        <v>78</v>
      </c>
      <c r="B52" s="344">
        <v>0</v>
      </c>
      <c r="C52" s="344">
        <v>0</v>
      </c>
      <c r="D52" s="344">
        <v>0</v>
      </c>
      <c r="E52" s="344">
        <v>0</v>
      </c>
      <c r="F52" s="344">
        <v>0</v>
      </c>
      <c r="G52" s="344">
        <v>0</v>
      </c>
      <c r="H52" s="344">
        <v>0</v>
      </c>
      <c r="I52" s="344">
        <v>0</v>
      </c>
      <c r="J52" s="344">
        <v>0</v>
      </c>
      <c r="K52" s="344">
        <v>0</v>
      </c>
      <c r="L52" s="83">
        <f t="shared" si="11"/>
        <v>0</v>
      </c>
    </row>
    <row r="53" spans="1:20" x14ac:dyDescent="0.2">
      <c r="A53" s="3" t="s">
        <v>29</v>
      </c>
      <c r="B53" s="344">
        <v>0</v>
      </c>
      <c r="C53" s="344">
        <v>0</v>
      </c>
      <c r="D53" s="344">
        <v>0</v>
      </c>
      <c r="E53" s="344">
        <v>0</v>
      </c>
      <c r="F53" s="344">
        <v>0</v>
      </c>
      <c r="G53" s="344">
        <v>0</v>
      </c>
      <c r="H53" s="344">
        <v>0</v>
      </c>
      <c r="I53" s="344">
        <v>0</v>
      </c>
      <c r="J53" s="344">
        <v>0</v>
      </c>
      <c r="K53" s="344">
        <v>0</v>
      </c>
      <c r="L53" s="83">
        <f t="shared" si="11"/>
        <v>0</v>
      </c>
    </row>
    <row r="54" spans="1:20" ht="10.5" thickBot="1" x14ac:dyDescent="0.25">
      <c r="A54" s="76" t="s">
        <v>80</v>
      </c>
      <c r="B54" s="6">
        <f t="shared" ref="B54:L54" si="12">SUM(B46:B53)</f>
        <v>0</v>
      </c>
      <c r="C54" s="6">
        <f t="shared" si="12"/>
        <v>0</v>
      </c>
      <c r="D54" s="6">
        <f t="shared" si="12"/>
        <v>0</v>
      </c>
      <c r="E54" s="6">
        <f t="shared" si="12"/>
        <v>0</v>
      </c>
      <c r="F54" s="6">
        <f t="shared" si="12"/>
        <v>0</v>
      </c>
      <c r="G54" s="6">
        <f t="shared" ref="G54:K54" si="13">SUM(G46:G53)</f>
        <v>0</v>
      </c>
      <c r="H54" s="6">
        <f t="shared" si="13"/>
        <v>0</v>
      </c>
      <c r="I54" s="6">
        <f t="shared" si="13"/>
        <v>0</v>
      </c>
      <c r="J54" s="6">
        <f t="shared" si="13"/>
        <v>0</v>
      </c>
      <c r="K54" s="6">
        <f t="shared" si="13"/>
        <v>0</v>
      </c>
      <c r="L54" s="86">
        <f t="shared" si="12"/>
        <v>0</v>
      </c>
      <c r="P54" s="1"/>
      <c r="S54" s="5"/>
      <c r="T54" s="5"/>
    </row>
    <row r="55" spans="1:20" ht="11" thickBot="1" x14ac:dyDescent="0.3">
      <c r="A55" s="98" t="s">
        <v>16</v>
      </c>
      <c r="B55" s="96">
        <f>SUM(+B12+B20+B29+B34+B38+B45+B54)</f>
        <v>0</v>
      </c>
      <c r="C55" s="96">
        <f>SUM(+C12+C20+C29+C34+C38+C45+C54)</f>
        <v>0</v>
      </c>
      <c r="D55" s="96">
        <f>SUM(+D12+D20+D29+D34+D38+D45+D54)</f>
        <v>0</v>
      </c>
      <c r="E55" s="96">
        <f>SUM(+E12+E20+E29+E34+E38+E45+E54)</f>
        <v>0</v>
      </c>
      <c r="F55" s="96">
        <f>SUM(+F12+F20+F29+F34+F38+F45+F54)</f>
        <v>0</v>
      </c>
      <c r="G55" s="96">
        <f t="shared" ref="G55:K55" si="14">SUM(+G12+G20+G29+G34+G38+G45+G54)</f>
        <v>0</v>
      </c>
      <c r="H55" s="96">
        <f t="shared" si="14"/>
        <v>0</v>
      </c>
      <c r="I55" s="96">
        <f t="shared" si="14"/>
        <v>0</v>
      </c>
      <c r="J55" s="96">
        <f t="shared" si="14"/>
        <v>0</v>
      </c>
      <c r="K55" s="96">
        <f t="shared" si="14"/>
        <v>0</v>
      </c>
      <c r="L55" s="97">
        <f>SUM(+L12+L20+L29+L34+L38+L45+L54)</f>
        <v>0</v>
      </c>
      <c r="S55" s="5"/>
      <c r="T55" s="5"/>
    </row>
    <row r="56" spans="1:20" ht="11" thickBot="1" x14ac:dyDescent="0.3">
      <c r="A56" s="71" t="s">
        <v>18</v>
      </c>
      <c r="B56" s="391"/>
      <c r="C56" s="391"/>
      <c r="D56" s="391"/>
      <c r="E56" s="391"/>
      <c r="F56" s="391"/>
      <c r="G56" s="391"/>
      <c r="H56" s="391"/>
      <c r="I56" s="391"/>
      <c r="J56" s="391"/>
      <c r="K56" s="391"/>
      <c r="L56" s="81">
        <f>SUM(B56:K56)</f>
        <v>0</v>
      </c>
      <c r="S56" s="5"/>
      <c r="T56" s="5"/>
    </row>
    <row r="57" spans="1:20" ht="11" thickBot="1" x14ac:dyDescent="0.3">
      <c r="A57" s="79" t="s">
        <v>19</v>
      </c>
      <c r="B57" s="80">
        <f>+B55+B56</f>
        <v>0</v>
      </c>
      <c r="C57" s="80">
        <f t="shared" ref="C57:F57" si="15">+C55+C56</f>
        <v>0</v>
      </c>
      <c r="D57" s="80">
        <f t="shared" si="15"/>
        <v>0</v>
      </c>
      <c r="E57" s="80">
        <f t="shared" si="15"/>
        <v>0</v>
      </c>
      <c r="F57" s="80">
        <f t="shared" si="15"/>
        <v>0</v>
      </c>
      <c r="G57" s="80">
        <f t="shared" ref="G57:K57" si="16">+G55+G56</f>
        <v>0</v>
      </c>
      <c r="H57" s="80">
        <f t="shared" si="16"/>
        <v>0</v>
      </c>
      <c r="I57" s="80">
        <f t="shared" si="16"/>
        <v>0</v>
      </c>
      <c r="J57" s="80">
        <f t="shared" si="16"/>
        <v>0</v>
      </c>
      <c r="K57" s="80">
        <f t="shared" si="16"/>
        <v>0</v>
      </c>
      <c r="L57" s="81">
        <f>SUM(B57:K57)</f>
        <v>0</v>
      </c>
      <c r="S57" s="5"/>
      <c r="T57" s="5"/>
    </row>
    <row r="58" spans="1:20" ht="10.5" x14ac:dyDescent="0.25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Q58" s="4"/>
      <c r="S58" s="5"/>
      <c r="T58" s="5"/>
    </row>
    <row r="59" spans="1:20" ht="10.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N59" s="18"/>
      <c r="O59" s="4"/>
      <c r="P59" s="18"/>
      <c r="Q59" s="18"/>
      <c r="R59" s="18"/>
      <c r="S59" s="5"/>
      <c r="T59" s="5"/>
    </row>
    <row r="60" spans="1:20" ht="10.5" x14ac:dyDescent="0.25">
      <c r="A60" s="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N60" s="18"/>
      <c r="O60" s="4"/>
      <c r="P60" s="18"/>
      <c r="Q60" s="18"/>
      <c r="R60" s="18"/>
      <c r="S60" s="5"/>
      <c r="T60" s="5"/>
    </row>
    <row r="61" spans="1:20" ht="10.5" thickBot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4"/>
    </row>
    <row r="63" spans="1:20" x14ac:dyDescent="0.2">
      <c r="A63" s="1" t="s">
        <v>37</v>
      </c>
      <c r="B63" s="84">
        <f>IF(B57&lt;25000,B57,25000)</f>
        <v>0</v>
      </c>
      <c r="C63" s="84">
        <f>IF(+B57&gt;25000,0,IF(B57+C57&gt;25000,(25000-B57),C57))</f>
        <v>0</v>
      </c>
      <c r="D63" s="84">
        <f>IF(+B57+C57&gt;25000,0,IF(B57+C57+D57&gt;25000,(25000-(B57+C57)),D57))</f>
        <v>0</v>
      </c>
      <c r="E63" s="84">
        <f>IF(B57+C57+D57&gt;25000,0,IF(B57+C57+D57+E57&gt;25000,(25000-(B57+C57+D57)),E57))</f>
        <v>0</v>
      </c>
      <c r="F63" s="84">
        <f>IF(B57+C57+D57+E57&gt;25000,0,IF(B57+C57+D57+E57+F57&gt;25000,(25000-(B57+C57+D57+E57)),F57))</f>
        <v>0</v>
      </c>
      <c r="G63" s="84">
        <f t="shared" ref="G63:K63" si="17">IF(C57+D57+E57+F57&gt;25000,0,IF(C57+D57+E57+F57+G57&gt;25000,(25000-(C57+D57+E57+F57)),G57))</f>
        <v>0</v>
      </c>
      <c r="H63" s="84">
        <f t="shared" si="17"/>
        <v>0</v>
      </c>
      <c r="I63" s="84">
        <f t="shared" si="17"/>
        <v>0</v>
      </c>
      <c r="J63" s="84">
        <f t="shared" si="17"/>
        <v>0</v>
      </c>
      <c r="K63" s="84">
        <f t="shared" si="17"/>
        <v>0</v>
      </c>
      <c r="L63" s="17">
        <f>SUM(B63:K63)</f>
        <v>0</v>
      </c>
      <c r="M63" s="17"/>
      <c r="N63" s="1"/>
    </row>
    <row r="64" spans="1:20" x14ac:dyDescent="0.2">
      <c r="A64" s="1" t="s">
        <v>38</v>
      </c>
      <c r="B64" s="84">
        <f>+B57-B63</f>
        <v>0</v>
      </c>
      <c r="C64" s="84">
        <f>+C57-C63</f>
        <v>0</v>
      </c>
      <c r="D64" s="84">
        <f>+D57-D63</f>
        <v>0</v>
      </c>
      <c r="E64" s="84">
        <f>+E57-E63</f>
        <v>0</v>
      </c>
      <c r="F64" s="84">
        <f>+F57-F63</f>
        <v>0</v>
      </c>
      <c r="G64" s="84">
        <f t="shared" ref="G64:K64" si="18">+G57-G63</f>
        <v>0</v>
      </c>
      <c r="H64" s="84">
        <f t="shared" si="18"/>
        <v>0</v>
      </c>
      <c r="I64" s="84">
        <f t="shared" si="18"/>
        <v>0</v>
      </c>
      <c r="J64" s="84">
        <f t="shared" si="18"/>
        <v>0</v>
      </c>
      <c r="K64" s="84">
        <f t="shared" si="18"/>
        <v>0</v>
      </c>
      <c r="L64" s="17">
        <f>SUM(B64:K64)</f>
        <v>0</v>
      </c>
      <c r="M64" s="17"/>
      <c r="N64" s="1"/>
    </row>
    <row r="65" spans="2:12" x14ac:dyDescent="0.2">
      <c r="C65" s="5"/>
      <c r="L65" s="17"/>
    </row>
    <row r="66" spans="2:12" x14ac:dyDescent="0.2">
      <c r="B66" s="5">
        <f>SUM(B63:B64)</f>
        <v>0</v>
      </c>
      <c r="C66" s="5">
        <f>SUM(C63:C64)</f>
        <v>0</v>
      </c>
      <c r="D66" s="5">
        <f t="shared" ref="D66" si="19">SUM(D63:D64)</f>
        <v>0</v>
      </c>
      <c r="E66" s="5">
        <f t="shared" ref="E66:F66" si="20">SUM(E63:E64)</f>
        <v>0</v>
      </c>
      <c r="F66" s="5">
        <f t="shared" si="20"/>
        <v>0</v>
      </c>
      <c r="G66" s="5">
        <f t="shared" ref="G66:K66" si="21">SUM(G63:G64)</f>
        <v>0</v>
      </c>
      <c r="H66" s="5">
        <f t="shared" si="21"/>
        <v>0</v>
      </c>
      <c r="I66" s="5">
        <f t="shared" si="21"/>
        <v>0</v>
      </c>
      <c r="J66" s="5">
        <f t="shared" si="21"/>
        <v>0</v>
      </c>
      <c r="K66" s="5">
        <f t="shared" si="21"/>
        <v>0</v>
      </c>
      <c r="L66" s="17">
        <f>SUM(B66:K66)</f>
        <v>0</v>
      </c>
    </row>
  </sheetData>
  <pageMargins left="0.75" right="0.53" top="0.7" bottom="0.64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23</vt:i4>
      </vt:variant>
    </vt:vector>
  </HeadingPairs>
  <TitlesOfParts>
    <vt:vector size="38" baseType="lpstr">
      <vt:lpstr>rates, dates, etc</vt:lpstr>
      <vt:lpstr>Budget Summary</vt:lpstr>
      <vt:lpstr>Lead Budget</vt:lpstr>
      <vt:lpstr>Co-PI Budget (1)</vt:lpstr>
      <vt:lpstr>Co-PI Budget (2)</vt:lpstr>
      <vt:lpstr>Co-PI Budget (3)</vt:lpstr>
      <vt:lpstr>Co-PI Budget (4)</vt:lpstr>
      <vt:lpstr>Co-PI Budget (5)</vt:lpstr>
      <vt:lpstr>Consortium 1</vt:lpstr>
      <vt:lpstr>Consortium 2</vt:lpstr>
      <vt:lpstr>Consortium 3</vt:lpstr>
      <vt:lpstr>Consortium 4</vt:lpstr>
      <vt:lpstr>Consortium 5</vt:lpstr>
      <vt:lpstr>GRA.Mat</vt:lpstr>
      <vt:lpstr>Travel</vt:lpstr>
      <vt:lpstr>CoPI_1_GRARateTbl</vt:lpstr>
      <vt:lpstr>CoPI_2_GRARateTbl</vt:lpstr>
      <vt:lpstr>CoPI_3_GRARateTbl</vt:lpstr>
      <vt:lpstr>CoPI_4_GRARateTbl</vt:lpstr>
      <vt:lpstr>CoPI_5_GRARateTbl</vt:lpstr>
      <vt:lpstr>FringeAndIDCRates</vt:lpstr>
      <vt:lpstr>Minimum_Undergraduate_rate</vt:lpstr>
      <vt:lpstr>PI_GRARateTbl</vt:lpstr>
      <vt:lpstr>PostdocMinRate</vt:lpstr>
      <vt:lpstr>'Budget Summary'!Print_Area</vt:lpstr>
      <vt:lpstr>'Consortium 1'!Print_Area</vt:lpstr>
      <vt:lpstr>'Consortium 2'!Print_Area</vt:lpstr>
      <vt:lpstr>'Consortium 3'!Print_Area</vt:lpstr>
      <vt:lpstr>'Consortium 4'!Print_Area</vt:lpstr>
      <vt:lpstr>'Consortium 5'!Print_Area</vt:lpstr>
      <vt:lpstr>'Co-PI Budget (1)'!Print_Area</vt:lpstr>
      <vt:lpstr>'Co-PI Budget (2)'!Print_Area</vt:lpstr>
      <vt:lpstr>'Co-PI Budget (3)'!Print_Area</vt:lpstr>
      <vt:lpstr>'Co-PI Budget (4)'!Print_Area</vt:lpstr>
      <vt:lpstr>'Co-PI Budget (5)'!Print_Area</vt:lpstr>
      <vt:lpstr>'Lead Budget'!Print_Area</vt:lpstr>
      <vt:lpstr>'rates, dates, etc'!Print_Area</vt:lpstr>
      <vt:lpstr>Stipend9Mo</vt:lpstr>
    </vt:vector>
  </TitlesOfParts>
  <Company>Cornell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Sutapa Ghosh</cp:lastModifiedBy>
  <cp:lastPrinted>2019-06-19T13:45:56Z</cp:lastPrinted>
  <dcterms:created xsi:type="dcterms:W3CDTF">2012-08-01T14:58:05Z</dcterms:created>
  <dcterms:modified xsi:type="dcterms:W3CDTF">2023-02-27T15:32:54Z</dcterms:modified>
</cp:coreProperties>
</file>