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.cornell.edu\RS\RAIS\OSP-PRO\Intake\######_LastName_YYYY_Sponsor_Program_w_LEAD\01_Budget_Drafts\"/>
    </mc:Choice>
  </mc:AlternateContent>
  <xr:revisionPtr revIDLastSave="0" documentId="13_ncr:1_{BDBB81DA-53B4-46C8-8A87-F92C8B77C7DF}" xr6:coauthVersionLast="47" xr6:coauthVersionMax="47" xr10:uidLastSave="{00000000-0000-0000-0000-000000000000}"/>
  <bookViews>
    <workbookView xWindow="-120" yWindow="-120" windowWidth="29040" windowHeight="15720" tabRatio="726" xr2:uid="{00000000-000D-0000-FFFF-FFFF00000000}"/>
  </bookViews>
  <sheets>
    <sheet name="rates, dates, etc" sheetId="5" r:id="rId1"/>
    <sheet name="Budget Summary" sheetId="16" r:id="rId2"/>
    <sheet name="Lead Budget" sheetId="1" r:id="rId3"/>
    <sheet name="Co-PI Budget (1)" sheetId="11" r:id="rId4"/>
    <sheet name="Co-PI Budget (2)" sheetId="12" r:id="rId5"/>
    <sheet name="Co-PI Budget (3)" sheetId="13" r:id="rId6"/>
    <sheet name="Co-PI Budget (4)" sheetId="14" r:id="rId7"/>
    <sheet name="Co-PI Budget (5)" sheetId="15" r:id="rId8"/>
    <sheet name="Consortium 1" sheetId="4" r:id="rId9"/>
    <sheet name="Consortium 2" sheetId="7" r:id="rId10"/>
    <sheet name="Consortium 3" sheetId="8" r:id="rId11"/>
    <sheet name="Consortium 4" sheetId="9" r:id="rId12"/>
    <sheet name="Consortium 5" sheetId="10" r:id="rId13"/>
    <sheet name="GRA.Mat" sheetId="19" r:id="rId14"/>
    <sheet name="Travel" sheetId="18" r:id="rId15"/>
  </sheets>
  <definedNames>
    <definedName name="CoPI_1_GRARateTbl">'rates, dates, etc'!$S$148:$AE$153</definedName>
    <definedName name="CoPI_2_GRARateTbl">'rates, dates, etc'!$S$229:$AE$234</definedName>
    <definedName name="CoPI_3_GRARateTbl">'rates, dates, etc'!$S$310:$AF$315</definedName>
    <definedName name="CoPI_4_GRARateTbl">'rates, dates, etc'!$S$391:$AF$396</definedName>
    <definedName name="CoPI_5_GRARateTbl">'rates, dates, etc'!$S$472:$AF$477</definedName>
    <definedName name="FringeAndIDCRates">'rates, dates, etc'!$N$2:$AA$14</definedName>
    <definedName name="Minimum_Undergraduate_rate">'rates, dates, etc'!$N$20</definedName>
    <definedName name="PI_GRARateTbl">'rates, dates, etc'!$S$67:$AE$72</definedName>
    <definedName name="PostdocMinRate">'rates, dates, etc'!$N$17</definedName>
    <definedName name="_xlnm.Print_Area" localSheetId="1">'Budget Summary'!$A$1:$L$96</definedName>
    <definedName name="_xlnm.Print_Area" localSheetId="8">'Consortium 1'!$A$1:$M$57</definedName>
    <definedName name="_xlnm.Print_Area" localSheetId="9">'Consortium 2'!$A$1:$M$57</definedName>
    <definedName name="_xlnm.Print_Area" localSheetId="10">'Consortium 3'!$A$1:$M$57</definedName>
    <definedName name="_xlnm.Print_Area" localSheetId="11">'Consortium 4'!$A$1:$M$57</definedName>
    <definedName name="_xlnm.Print_Area" localSheetId="12">'Consortium 5'!$A$1:$M$57</definedName>
    <definedName name="_xlnm.Print_Area" localSheetId="3">'Co-PI Budget (1)'!$A$1:$M$55</definedName>
    <definedName name="_xlnm.Print_Area" localSheetId="4">'Co-PI Budget (2)'!$A$1:$M$57</definedName>
    <definedName name="_xlnm.Print_Area" localSheetId="5">'Co-PI Budget (3)'!$A$1:$M$57</definedName>
    <definedName name="_xlnm.Print_Area" localSheetId="6">'Co-PI Budget (4)'!$A$1:$M$57</definedName>
    <definedName name="_xlnm.Print_Area" localSheetId="7">'Co-PI Budget (5)'!$A$1:$M$57</definedName>
    <definedName name="_xlnm.Print_Area" localSheetId="2">'Lead Budget'!$A$1:$M$55</definedName>
    <definedName name="_xlnm.Print_Area" localSheetId="0">'rates, dates, etc'!$A$1:$J$510</definedName>
    <definedName name="Stipend9Mo">'rates, dates, etc'!$P$33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6" i="5" l="1"/>
  <c r="Q32" i="5"/>
  <c r="Q31" i="5"/>
  <c r="P36" i="5"/>
  <c r="B478" i="5" l="1"/>
  <c r="L95" i="18"/>
  <c r="L96" i="18"/>
  <c r="L97" i="18"/>
  <c r="L98" i="18"/>
  <c r="L94" i="18"/>
  <c r="L85" i="18"/>
  <c r="L86" i="18"/>
  <c r="L87" i="18"/>
  <c r="L88" i="18"/>
  <c r="L84" i="18"/>
  <c r="L75" i="18"/>
  <c r="L76" i="18"/>
  <c r="L77" i="18"/>
  <c r="L78" i="18"/>
  <c r="L74" i="18"/>
  <c r="L65" i="18"/>
  <c r="L66" i="18"/>
  <c r="L67" i="18"/>
  <c r="L68" i="18"/>
  <c r="L64" i="18"/>
  <c r="L54" i="18"/>
  <c r="L55" i="18"/>
  <c r="L56" i="18"/>
  <c r="L57" i="18"/>
  <c r="L53" i="18"/>
  <c r="L44" i="18"/>
  <c r="L45" i="18"/>
  <c r="L46" i="18"/>
  <c r="L47" i="18"/>
  <c r="L43" i="18"/>
  <c r="L34" i="18"/>
  <c r="L35" i="18"/>
  <c r="L36" i="18"/>
  <c r="L37" i="18"/>
  <c r="L33" i="18"/>
  <c r="L24" i="18"/>
  <c r="L25" i="18"/>
  <c r="L26" i="18"/>
  <c r="L27" i="18"/>
  <c r="L23" i="18"/>
  <c r="L14" i="18"/>
  <c r="L15" i="18"/>
  <c r="L16" i="18"/>
  <c r="L17" i="18"/>
  <c r="L13" i="18"/>
  <c r="L5" i="18"/>
  <c r="L6" i="18"/>
  <c r="L7" i="18"/>
  <c r="K4" i="18"/>
  <c r="L4" i="18"/>
  <c r="K3" i="18"/>
  <c r="L3" i="18"/>
  <c r="N15" i="5" l="1"/>
  <c r="U476" i="5" l="1"/>
  <c r="T476" i="5"/>
  <c r="S476" i="5"/>
  <c r="U314" i="5"/>
  <c r="T314" i="5"/>
  <c r="S314" i="5"/>
  <c r="T233" i="5"/>
  <c r="U233" i="5"/>
  <c r="S233" i="5"/>
  <c r="T395" i="5"/>
  <c r="U395" i="5"/>
  <c r="S395" i="5"/>
  <c r="U152" i="5"/>
  <c r="T152" i="5"/>
  <c r="S152" i="5"/>
  <c r="U71" i="5"/>
  <c r="T71" i="5"/>
  <c r="S71" i="5"/>
  <c r="P32" i="5"/>
  <c r="S312" i="5" s="1"/>
  <c r="C63" i="15"/>
  <c r="D63" i="15"/>
  <c r="E63" i="15"/>
  <c r="F63" i="15"/>
  <c r="G63" i="15"/>
  <c r="H63" i="15"/>
  <c r="I63" i="15"/>
  <c r="J63" i="15"/>
  <c r="K63" i="15"/>
  <c r="B63" i="15"/>
  <c r="C63" i="14"/>
  <c r="D63" i="14"/>
  <c r="E63" i="14"/>
  <c r="F63" i="14"/>
  <c r="G63" i="14"/>
  <c r="H63" i="14"/>
  <c r="I63" i="14"/>
  <c r="J63" i="14"/>
  <c r="K63" i="14"/>
  <c r="B63" i="14"/>
  <c r="C63" i="13"/>
  <c r="D63" i="13"/>
  <c r="E63" i="13"/>
  <c r="F63" i="13"/>
  <c r="G63" i="13"/>
  <c r="H63" i="13"/>
  <c r="I63" i="13"/>
  <c r="J63" i="13"/>
  <c r="K63" i="13"/>
  <c r="B63" i="13"/>
  <c r="C63" i="12"/>
  <c r="D63" i="12"/>
  <c r="E63" i="12"/>
  <c r="F63" i="12"/>
  <c r="G63" i="12"/>
  <c r="H63" i="12"/>
  <c r="I63" i="12"/>
  <c r="J63" i="12"/>
  <c r="K63" i="12"/>
  <c r="B63" i="12"/>
  <c r="C61" i="11"/>
  <c r="D61" i="11"/>
  <c r="E61" i="11"/>
  <c r="F61" i="11"/>
  <c r="G61" i="11"/>
  <c r="H61" i="11"/>
  <c r="I61" i="11"/>
  <c r="J61" i="11"/>
  <c r="K61" i="11"/>
  <c r="B61" i="11"/>
  <c r="C61" i="1"/>
  <c r="D61" i="1"/>
  <c r="E61" i="1"/>
  <c r="F61" i="1"/>
  <c r="G61" i="1"/>
  <c r="H61" i="1"/>
  <c r="I61" i="1"/>
  <c r="J61" i="1"/>
  <c r="K61" i="1"/>
  <c r="B61" i="1"/>
  <c r="B496" i="5"/>
  <c r="B502" i="5" s="1"/>
  <c r="B415" i="5"/>
  <c r="B334" i="5"/>
  <c r="B340" i="5" s="1"/>
  <c r="B253" i="5"/>
  <c r="B256" i="5" s="1"/>
  <c r="B172" i="5"/>
  <c r="B178" i="5" s="1"/>
  <c r="B91" i="5"/>
  <c r="P30" i="5"/>
  <c r="S391" i="5" s="1"/>
  <c r="O2" i="5"/>
  <c r="C291" i="5" s="1"/>
  <c r="C292" i="5" s="1"/>
  <c r="S68" i="5"/>
  <c r="T68" i="5" s="1"/>
  <c r="U68" i="5" s="1"/>
  <c r="AD2" i="5"/>
  <c r="R104" i="5" s="1"/>
  <c r="AD3" i="5"/>
  <c r="I280" i="5" s="1"/>
  <c r="S72" i="5"/>
  <c r="T72" i="5" s="1"/>
  <c r="U72" i="5" s="1"/>
  <c r="S149" i="5"/>
  <c r="T149" i="5" s="1"/>
  <c r="U149" i="5" s="1"/>
  <c r="V149" i="5" s="1"/>
  <c r="W149" i="5" s="1"/>
  <c r="S153" i="5"/>
  <c r="T153" i="5" s="1"/>
  <c r="S230" i="5"/>
  <c r="T230" i="5" s="1"/>
  <c r="S234" i="5"/>
  <c r="T234" i="5" s="1"/>
  <c r="S311" i="5"/>
  <c r="T311" i="5" s="1"/>
  <c r="U311" i="5" s="1"/>
  <c r="S315" i="5"/>
  <c r="T315" i="5" s="1"/>
  <c r="U315" i="5" s="1"/>
  <c r="S392" i="5"/>
  <c r="T392" i="5" s="1"/>
  <c r="U392" i="5" s="1"/>
  <c r="S396" i="5"/>
  <c r="T396" i="5" s="1"/>
  <c r="U396" i="5" s="1"/>
  <c r="S473" i="5"/>
  <c r="T473" i="5" s="1"/>
  <c r="U473" i="5" s="1"/>
  <c r="V473" i="5" s="1"/>
  <c r="W473" i="5" s="1"/>
  <c r="X473" i="5" s="1"/>
  <c r="S477" i="5"/>
  <c r="T477" i="5" s="1"/>
  <c r="R31" i="5"/>
  <c r="S31" i="5" s="1"/>
  <c r="T31" i="5" s="1"/>
  <c r="U31" i="5" s="1"/>
  <c r="V31" i="5" s="1"/>
  <c r="W31" i="5" s="1"/>
  <c r="X31" i="5" s="1"/>
  <c r="S35" i="5"/>
  <c r="V395" i="5" s="1"/>
  <c r="R36" i="5"/>
  <c r="S36" i="5" s="1"/>
  <c r="T36" i="5" s="1"/>
  <c r="U36" i="5" s="1"/>
  <c r="V36" i="5" s="1"/>
  <c r="W36" i="5" s="1"/>
  <c r="X36" i="5" s="1"/>
  <c r="Y36" i="5" s="1"/>
  <c r="Z36" i="5" s="1"/>
  <c r="AA36" i="5" s="1"/>
  <c r="AB36" i="5" s="1"/>
  <c r="AC36" i="5" s="1"/>
  <c r="AD485" i="5"/>
  <c r="AD486" i="5"/>
  <c r="AD487" i="5"/>
  <c r="AC485" i="5"/>
  <c r="AC486" i="5"/>
  <c r="AC487" i="5"/>
  <c r="AD404" i="5"/>
  <c r="AD405" i="5"/>
  <c r="AD406" i="5"/>
  <c r="AD323" i="5"/>
  <c r="AD324" i="5"/>
  <c r="AD325" i="5"/>
  <c r="AD242" i="5"/>
  <c r="AD243" i="5"/>
  <c r="AD244" i="5"/>
  <c r="AD161" i="5"/>
  <c r="AD162" i="5"/>
  <c r="AD163" i="5"/>
  <c r="AD80" i="5"/>
  <c r="AD81" i="5"/>
  <c r="AD82" i="5"/>
  <c r="R34" i="5"/>
  <c r="S34" i="5" s="1"/>
  <c r="T34" i="5" s="1"/>
  <c r="U34" i="5" s="1"/>
  <c r="V34" i="5" s="1"/>
  <c r="W34" i="5" s="1"/>
  <c r="X34" i="5" s="1"/>
  <c r="Y34" i="5" s="1"/>
  <c r="Z34" i="5" s="1"/>
  <c r="AA34" i="5" s="1"/>
  <c r="AB34" i="5" s="1"/>
  <c r="AC34" i="5" s="1"/>
  <c r="P41" i="5"/>
  <c r="O89" i="14" s="1"/>
  <c r="M509" i="5"/>
  <c r="M480" i="5"/>
  <c r="M487" i="5"/>
  <c r="AE6" i="5"/>
  <c r="N456" i="5"/>
  <c r="N457" i="5"/>
  <c r="N464" i="5"/>
  <c r="N465" i="5"/>
  <c r="N472" i="5"/>
  <c r="N473" i="5"/>
  <c r="M428" i="5"/>
  <c r="B397" i="5"/>
  <c r="M399" i="5"/>
  <c r="M406" i="5"/>
  <c r="N375" i="5"/>
  <c r="N376" i="5"/>
  <c r="N383" i="5"/>
  <c r="N384" i="5"/>
  <c r="N391" i="5"/>
  <c r="N392" i="5"/>
  <c r="M347" i="5"/>
  <c r="B316" i="5"/>
  <c r="M318" i="5"/>
  <c r="M325" i="5"/>
  <c r="N294" i="5"/>
  <c r="N295" i="5"/>
  <c r="N302" i="5"/>
  <c r="N303" i="5"/>
  <c r="N310" i="5"/>
  <c r="N311" i="5"/>
  <c r="M266" i="5"/>
  <c r="B235" i="5"/>
  <c r="M237" i="5"/>
  <c r="M244" i="5"/>
  <c r="N213" i="5"/>
  <c r="N214" i="5"/>
  <c r="N221" i="5"/>
  <c r="N222" i="5"/>
  <c r="N229" i="5"/>
  <c r="N230" i="5"/>
  <c r="M185" i="5"/>
  <c r="B154" i="5"/>
  <c r="M156" i="5"/>
  <c r="M163" i="5"/>
  <c r="N132" i="5"/>
  <c r="N133" i="5"/>
  <c r="N140" i="5"/>
  <c r="N141" i="5"/>
  <c r="N148" i="5"/>
  <c r="N149" i="5"/>
  <c r="M104" i="5"/>
  <c r="B73" i="5"/>
  <c r="M75" i="5"/>
  <c r="M82" i="5"/>
  <c r="N51" i="5"/>
  <c r="N52" i="5"/>
  <c r="N59" i="5"/>
  <c r="N60" i="5"/>
  <c r="N67" i="5"/>
  <c r="N68" i="5"/>
  <c r="C42" i="5"/>
  <c r="P83" i="11" s="1"/>
  <c r="D42" i="5"/>
  <c r="Q83" i="11" s="1"/>
  <c r="E42" i="5"/>
  <c r="R85" i="13" s="1"/>
  <c r="F42" i="5"/>
  <c r="G42" i="5"/>
  <c r="T83" i="11" s="1"/>
  <c r="H42" i="5"/>
  <c r="U85" i="13" s="1"/>
  <c r="I42" i="5"/>
  <c r="V83" i="1" s="1"/>
  <c r="J42" i="5"/>
  <c r="K42" i="5"/>
  <c r="X83" i="1" s="1"/>
  <c r="L42" i="5"/>
  <c r="Y85" i="15" s="1"/>
  <c r="M42" i="5"/>
  <c r="Z83" i="11" s="1"/>
  <c r="C447" i="5"/>
  <c r="D447" i="5"/>
  <c r="E447" i="5"/>
  <c r="F447" i="5"/>
  <c r="G447" i="5"/>
  <c r="H447" i="5"/>
  <c r="I447" i="5"/>
  <c r="J447" i="5"/>
  <c r="K447" i="5"/>
  <c r="L447" i="5"/>
  <c r="M447" i="5"/>
  <c r="B447" i="5"/>
  <c r="C366" i="5"/>
  <c r="D366" i="5"/>
  <c r="E366" i="5"/>
  <c r="F366" i="5"/>
  <c r="G366" i="5"/>
  <c r="H366" i="5"/>
  <c r="I366" i="5"/>
  <c r="J366" i="5"/>
  <c r="K366" i="5"/>
  <c r="L366" i="5"/>
  <c r="M366" i="5"/>
  <c r="B366" i="5"/>
  <c r="C285" i="5"/>
  <c r="D285" i="5"/>
  <c r="E285" i="5"/>
  <c r="F285" i="5"/>
  <c r="G285" i="5"/>
  <c r="H285" i="5"/>
  <c r="I285" i="5"/>
  <c r="J285" i="5"/>
  <c r="K285" i="5"/>
  <c r="L285" i="5"/>
  <c r="M285" i="5"/>
  <c r="B285" i="5"/>
  <c r="C204" i="5"/>
  <c r="D204" i="5"/>
  <c r="E204" i="5"/>
  <c r="F204" i="5"/>
  <c r="G204" i="5"/>
  <c r="H204" i="5"/>
  <c r="I204" i="5"/>
  <c r="J204" i="5"/>
  <c r="K204" i="5"/>
  <c r="L204" i="5"/>
  <c r="M204" i="5"/>
  <c r="B204" i="5"/>
  <c r="C123" i="5"/>
  <c r="D123" i="5"/>
  <c r="E123" i="5"/>
  <c r="F123" i="5"/>
  <c r="G123" i="5"/>
  <c r="H123" i="5"/>
  <c r="I123" i="5"/>
  <c r="J123" i="5"/>
  <c r="K123" i="5"/>
  <c r="L123" i="5"/>
  <c r="M123" i="5"/>
  <c r="B123" i="5"/>
  <c r="B42" i="5"/>
  <c r="O107" i="16" s="1"/>
  <c r="T161" i="5"/>
  <c r="C168" i="5"/>
  <c r="T162" i="5" s="1"/>
  <c r="C169" i="5"/>
  <c r="T163" i="5" s="1"/>
  <c r="B168" i="5"/>
  <c r="S162" i="5" s="1"/>
  <c r="S161" i="5"/>
  <c r="B169" i="5"/>
  <c r="S163" i="5" s="1"/>
  <c r="B87" i="5"/>
  <c r="S81" i="5" s="1"/>
  <c r="C87" i="5"/>
  <c r="T81" i="5" s="1"/>
  <c r="B88" i="5"/>
  <c r="S82" i="5" s="1"/>
  <c r="C88" i="5"/>
  <c r="T82" i="5" s="1"/>
  <c r="X80" i="5"/>
  <c r="G87" i="5"/>
  <c r="X81" i="5" s="1"/>
  <c r="G88" i="5"/>
  <c r="X82" i="5" s="1"/>
  <c r="X161" i="5"/>
  <c r="G168" i="5"/>
  <c r="X162" i="5"/>
  <c r="G169" i="5"/>
  <c r="X163" i="5" s="1"/>
  <c r="X242" i="5"/>
  <c r="G249" i="5"/>
  <c r="X243" i="5" s="1"/>
  <c r="G250" i="5"/>
  <c r="X244" i="5" s="1"/>
  <c r="X323" i="5"/>
  <c r="G330" i="5"/>
  <c r="X324" i="5" s="1"/>
  <c r="G331" i="5"/>
  <c r="X325" i="5" s="1"/>
  <c r="X404" i="5"/>
  <c r="G411" i="5"/>
  <c r="X405" i="5" s="1"/>
  <c r="G412" i="5"/>
  <c r="X406" i="5" s="1"/>
  <c r="X485" i="5"/>
  <c r="G492" i="5"/>
  <c r="X486" i="5" s="1"/>
  <c r="G493" i="5"/>
  <c r="X487" i="5" s="1"/>
  <c r="L8" i="7"/>
  <c r="L9" i="7"/>
  <c r="L10" i="7"/>
  <c r="L11" i="7"/>
  <c r="L12" i="7"/>
  <c r="L8" i="8"/>
  <c r="L9" i="8"/>
  <c r="L10" i="8"/>
  <c r="L11" i="8"/>
  <c r="L12" i="8"/>
  <c r="L8" i="9"/>
  <c r="L9" i="9"/>
  <c r="L10" i="9"/>
  <c r="L11" i="9"/>
  <c r="L12" i="9"/>
  <c r="L8" i="10"/>
  <c r="L9" i="10"/>
  <c r="L10" i="10"/>
  <c r="L11" i="10"/>
  <c r="L12" i="10"/>
  <c r="L8" i="4"/>
  <c r="L9" i="4"/>
  <c r="L10" i="4"/>
  <c r="L11" i="4"/>
  <c r="L12" i="4"/>
  <c r="C12" i="7"/>
  <c r="D12" i="7"/>
  <c r="E12" i="7"/>
  <c r="F12" i="7"/>
  <c r="G12" i="7"/>
  <c r="H12" i="7"/>
  <c r="I12" i="7"/>
  <c r="J12" i="7"/>
  <c r="K12" i="7"/>
  <c r="C12" i="8"/>
  <c r="D12" i="8"/>
  <c r="E12" i="8"/>
  <c r="F12" i="8"/>
  <c r="G12" i="8"/>
  <c r="H12" i="8"/>
  <c r="I12" i="8"/>
  <c r="J12" i="8"/>
  <c r="K12" i="8"/>
  <c r="C12" i="9"/>
  <c r="D12" i="9"/>
  <c r="E12" i="9"/>
  <c r="F12" i="9"/>
  <c r="G12" i="9"/>
  <c r="H12" i="9"/>
  <c r="I12" i="9"/>
  <c r="J12" i="9"/>
  <c r="K12" i="9"/>
  <c r="C12" i="10"/>
  <c r="D12" i="10"/>
  <c r="E12" i="10"/>
  <c r="F12" i="10"/>
  <c r="G12" i="10"/>
  <c r="H12" i="10"/>
  <c r="I12" i="10"/>
  <c r="J12" i="10"/>
  <c r="K12" i="10"/>
  <c r="C12" i="4"/>
  <c r="D12" i="4"/>
  <c r="E12" i="4"/>
  <c r="F12" i="4"/>
  <c r="G12" i="4"/>
  <c r="H12" i="4"/>
  <c r="I12" i="4"/>
  <c r="J12" i="4"/>
  <c r="K12" i="4"/>
  <c r="B12" i="7"/>
  <c r="B12" i="8"/>
  <c r="B12" i="9"/>
  <c r="B12" i="10"/>
  <c r="B12" i="4"/>
  <c r="H29" i="7"/>
  <c r="I29" i="7"/>
  <c r="K29" i="7"/>
  <c r="H29" i="8"/>
  <c r="K29" i="8"/>
  <c r="L22" i="9"/>
  <c r="G29" i="9"/>
  <c r="I29" i="9"/>
  <c r="L22" i="10"/>
  <c r="I29" i="10"/>
  <c r="L22" i="4"/>
  <c r="G29" i="4"/>
  <c r="J29" i="4"/>
  <c r="L56" i="7"/>
  <c r="L56" i="8"/>
  <c r="L56" i="9"/>
  <c r="L56" i="10"/>
  <c r="L56" i="4"/>
  <c r="L48" i="7"/>
  <c r="L49" i="7"/>
  <c r="L50" i="7"/>
  <c r="L51" i="7"/>
  <c r="L52" i="7"/>
  <c r="L53" i="7"/>
  <c r="L48" i="8"/>
  <c r="L49" i="8"/>
  <c r="L50" i="8"/>
  <c r="L51" i="8"/>
  <c r="L52" i="8"/>
  <c r="L53" i="8"/>
  <c r="L48" i="9"/>
  <c r="L49" i="9"/>
  <c r="L50" i="9"/>
  <c r="L51" i="9"/>
  <c r="L52" i="9"/>
  <c r="L53" i="9"/>
  <c r="L48" i="10"/>
  <c r="L49" i="10"/>
  <c r="L50" i="10"/>
  <c r="L51" i="10"/>
  <c r="L52" i="10"/>
  <c r="L53" i="10"/>
  <c r="L48" i="4"/>
  <c r="L49" i="4"/>
  <c r="L50" i="4"/>
  <c r="L51" i="4"/>
  <c r="L52" i="4"/>
  <c r="L53" i="4"/>
  <c r="L47" i="7"/>
  <c r="L47" i="8"/>
  <c r="L47" i="9"/>
  <c r="L47" i="10"/>
  <c r="L47" i="4"/>
  <c r="L41" i="7"/>
  <c r="L42" i="7"/>
  <c r="L43" i="7"/>
  <c r="L44" i="7"/>
  <c r="L41" i="8"/>
  <c r="L42" i="8"/>
  <c r="L43" i="8"/>
  <c r="L44" i="8"/>
  <c r="L41" i="9"/>
  <c r="L42" i="9"/>
  <c r="L43" i="9"/>
  <c r="L44" i="9"/>
  <c r="L41" i="10"/>
  <c r="L42" i="10"/>
  <c r="L43" i="10"/>
  <c r="L44" i="10"/>
  <c r="L41" i="4"/>
  <c r="L42" i="4"/>
  <c r="L43" i="4"/>
  <c r="L44" i="4"/>
  <c r="L40" i="7"/>
  <c r="L40" i="8"/>
  <c r="L40" i="9"/>
  <c r="L40" i="10"/>
  <c r="L40" i="4"/>
  <c r="L37" i="7"/>
  <c r="L37" i="8"/>
  <c r="L37" i="9"/>
  <c r="L37" i="10"/>
  <c r="L37" i="4"/>
  <c r="L36" i="7"/>
  <c r="L36" i="8"/>
  <c r="L36" i="9"/>
  <c r="L36" i="10"/>
  <c r="L36" i="4"/>
  <c r="L33" i="7"/>
  <c r="L33" i="8"/>
  <c r="L33" i="9"/>
  <c r="L33" i="10"/>
  <c r="L33" i="4"/>
  <c r="L32" i="7"/>
  <c r="L32" i="8"/>
  <c r="L32" i="9"/>
  <c r="L32" i="10"/>
  <c r="L32" i="4"/>
  <c r="L23" i="7"/>
  <c r="L24" i="7"/>
  <c r="L25" i="7"/>
  <c r="L26" i="7"/>
  <c r="L27" i="7"/>
  <c r="L28" i="7"/>
  <c r="L23" i="8"/>
  <c r="L24" i="8"/>
  <c r="L25" i="8"/>
  <c r="L26" i="8"/>
  <c r="L27" i="8"/>
  <c r="L28" i="8"/>
  <c r="L23" i="9"/>
  <c r="L24" i="9"/>
  <c r="L25" i="9"/>
  <c r="L26" i="9"/>
  <c r="L27" i="9"/>
  <c r="L28" i="9"/>
  <c r="L23" i="10"/>
  <c r="L24" i="10"/>
  <c r="L25" i="10"/>
  <c r="L26" i="10"/>
  <c r="L27" i="10"/>
  <c r="L28" i="10"/>
  <c r="L23" i="4"/>
  <c r="L24" i="4"/>
  <c r="L25" i="4"/>
  <c r="L26" i="4"/>
  <c r="L27" i="4"/>
  <c r="L28" i="4"/>
  <c r="L22" i="8"/>
  <c r="L15" i="7"/>
  <c r="L16" i="7"/>
  <c r="L17" i="7"/>
  <c r="L18" i="7"/>
  <c r="L19" i="7"/>
  <c r="L15" i="8"/>
  <c r="L16" i="8"/>
  <c r="L17" i="8"/>
  <c r="L18" i="8"/>
  <c r="L19" i="8"/>
  <c r="L15" i="9"/>
  <c r="L16" i="9"/>
  <c r="L17" i="9"/>
  <c r="L18" i="9"/>
  <c r="L19" i="9"/>
  <c r="L15" i="10"/>
  <c r="L16" i="10"/>
  <c r="L17" i="10"/>
  <c r="L18" i="10"/>
  <c r="L19" i="10"/>
  <c r="L15" i="4"/>
  <c r="L16" i="4"/>
  <c r="L17" i="4"/>
  <c r="L18" i="4"/>
  <c r="L19" i="4"/>
  <c r="L14" i="7"/>
  <c r="L14" i="8"/>
  <c r="L14" i="9"/>
  <c r="L14" i="10"/>
  <c r="L14" i="4"/>
  <c r="G54" i="7"/>
  <c r="H54" i="7"/>
  <c r="I54" i="7"/>
  <c r="J54" i="7"/>
  <c r="K54" i="7"/>
  <c r="G54" i="8"/>
  <c r="H54" i="8"/>
  <c r="I54" i="8"/>
  <c r="J54" i="8"/>
  <c r="K54" i="8"/>
  <c r="G54" i="9"/>
  <c r="H54" i="9"/>
  <c r="I54" i="9"/>
  <c r="J54" i="9"/>
  <c r="K54" i="9"/>
  <c r="G54" i="10"/>
  <c r="H54" i="10"/>
  <c r="I54" i="10"/>
  <c r="J54" i="10"/>
  <c r="K54" i="10"/>
  <c r="G54" i="4"/>
  <c r="H54" i="4"/>
  <c r="I54" i="4"/>
  <c r="J54" i="4"/>
  <c r="K54" i="4"/>
  <c r="G45" i="7"/>
  <c r="H45" i="7"/>
  <c r="I45" i="7"/>
  <c r="J45" i="7"/>
  <c r="K45" i="7"/>
  <c r="G45" i="8"/>
  <c r="H45" i="8"/>
  <c r="I45" i="8"/>
  <c r="J45" i="8"/>
  <c r="K45" i="8"/>
  <c r="G45" i="9"/>
  <c r="H45" i="9"/>
  <c r="I45" i="9"/>
  <c r="J45" i="9"/>
  <c r="K45" i="9"/>
  <c r="G45" i="10"/>
  <c r="H45" i="10"/>
  <c r="I45" i="10"/>
  <c r="J45" i="10"/>
  <c r="K45" i="10"/>
  <c r="G45" i="4"/>
  <c r="H45" i="4"/>
  <c r="I45" i="4"/>
  <c r="J45" i="4"/>
  <c r="K45" i="4"/>
  <c r="G38" i="7"/>
  <c r="H38" i="7"/>
  <c r="I38" i="7"/>
  <c r="J38" i="7"/>
  <c r="K38" i="7"/>
  <c r="G38" i="8"/>
  <c r="H38" i="8"/>
  <c r="I38" i="8"/>
  <c r="J38" i="8"/>
  <c r="K38" i="8"/>
  <c r="G38" i="9"/>
  <c r="H38" i="9"/>
  <c r="I38" i="9"/>
  <c r="J38" i="9"/>
  <c r="K38" i="9"/>
  <c r="G38" i="10"/>
  <c r="H38" i="10"/>
  <c r="I38" i="10"/>
  <c r="J38" i="10"/>
  <c r="K38" i="10"/>
  <c r="G38" i="4"/>
  <c r="H38" i="4"/>
  <c r="I38" i="4"/>
  <c r="J38" i="4"/>
  <c r="K38" i="4"/>
  <c r="G34" i="7"/>
  <c r="H34" i="7"/>
  <c r="I34" i="7"/>
  <c r="J34" i="7"/>
  <c r="K34" i="7"/>
  <c r="G34" i="8"/>
  <c r="H34" i="8"/>
  <c r="I34" i="8"/>
  <c r="J34" i="8"/>
  <c r="K34" i="8"/>
  <c r="G34" i="9"/>
  <c r="H34" i="9"/>
  <c r="I34" i="9"/>
  <c r="J34" i="9"/>
  <c r="K34" i="9"/>
  <c r="G34" i="10"/>
  <c r="H34" i="10"/>
  <c r="I34" i="10"/>
  <c r="J34" i="10"/>
  <c r="K34" i="10"/>
  <c r="G34" i="4"/>
  <c r="H34" i="4"/>
  <c r="I34" i="4"/>
  <c r="J34" i="4"/>
  <c r="K34" i="4"/>
  <c r="G29" i="7"/>
  <c r="J29" i="7"/>
  <c r="G29" i="8"/>
  <c r="I29" i="8"/>
  <c r="J29" i="8"/>
  <c r="H29" i="9"/>
  <c r="J29" i="9"/>
  <c r="K29" i="9"/>
  <c r="G29" i="10"/>
  <c r="H29" i="10"/>
  <c r="J29" i="10"/>
  <c r="K29" i="10"/>
  <c r="H29" i="4"/>
  <c r="I29" i="4"/>
  <c r="K29" i="4"/>
  <c r="G20" i="7"/>
  <c r="H20" i="7"/>
  <c r="I20" i="7"/>
  <c r="J20" i="7"/>
  <c r="K20" i="7"/>
  <c r="G20" i="8"/>
  <c r="H20" i="8"/>
  <c r="I20" i="8"/>
  <c r="J20" i="8"/>
  <c r="K20" i="8"/>
  <c r="G20" i="9"/>
  <c r="H20" i="9"/>
  <c r="I20" i="9"/>
  <c r="J20" i="9"/>
  <c r="K20" i="9"/>
  <c r="G20" i="10"/>
  <c r="H20" i="10"/>
  <c r="I20" i="10"/>
  <c r="J20" i="10"/>
  <c r="K20" i="10"/>
  <c r="G20" i="4"/>
  <c r="H20" i="4"/>
  <c r="I20" i="4"/>
  <c r="J20" i="4"/>
  <c r="K20" i="4"/>
  <c r="B5" i="1"/>
  <c r="B5" i="8" s="1"/>
  <c r="K30" i="9"/>
  <c r="H30" i="7"/>
  <c r="I30" i="4"/>
  <c r="J55" i="10"/>
  <c r="J57" i="10"/>
  <c r="K55" i="9"/>
  <c r="K57" i="9"/>
  <c r="K55" i="7"/>
  <c r="K57" i="7"/>
  <c r="J55" i="8"/>
  <c r="J57" i="8"/>
  <c r="I30" i="10"/>
  <c r="G30" i="8"/>
  <c r="H30" i="4"/>
  <c r="L22" i="7"/>
  <c r="J55" i="9"/>
  <c r="J57" i="9"/>
  <c r="J30" i="4"/>
  <c r="H55" i="8"/>
  <c r="H57" i="8"/>
  <c r="G55" i="9"/>
  <c r="G57" i="9"/>
  <c r="I55" i="7"/>
  <c r="I57" i="7"/>
  <c r="K30" i="10"/>
  <c r="J30" i="7"/>
  <c r="I55" i="9"/>
  <c r="I57" i="9"/>
  <c r="G30" i="4"/>
  <c r="H30" i="10"/>
  <c r="G30" i="7"/>
  <c r="H55" i="7"/>
  <c r="H57" i="7"/>
  <c r="K55" i="4"/>
  <c r="K57" i="4"/>
  <c r="I55" i="8"/>
  <c r="I57" i="8"/>
  <c r="J55" i="4"/>
  <c r="J57" i="4"/>
  <c r="J30" i="8"/>
  <c r="I55" i="4"/>
  <c r="I57" i="4"/>
  <c r="J30" i="10"/>
  <c r="J30" i="9"/>
  <c r="J55" i="7"/>
  <c r="J57" i="7"/>
  <c r="K30" i="4"/>
  <c r="K55" i="10"/>
  <c r="K57" i="10"/>
  <c r="K55" i="8"/>
  <c r="K57" i="8"/>
  <c r="K30" i="7"/>
  <c r="K30" i="8"/>
  <c r="I30" i="9"/>
  <c r="I30" i="7"/>
  <c r="I30" i="8"/>
  <c r="I55" i="10"/>
  <c r="I57" i="10"/>
  <c r="H30" i="8"/>
  <c r="H55" i="10"/>
  <c r="H57" i="10"/>
  <c r="H55" i="9"/>
  <c r="H57" i="9"/>
  <c r="H55" i="4"/>
  <c r="H57" i="4"/>
  <c r="H30" i="9"/>
  <c r="G55" i="4"/>
  <c r="G57" i="4"/>
  <c r="G30" i="9"/>
  <c r="G55" i="7"/>
  <c r="G57" i="7"/>
  <c r="G30" i="10"/>
  <c r="G55" i="10"/>
  <c r="G57" i="10"/>
  <c r="G55" i="8"/>
  <c r="G57" i="8"/>
  <c r="I98" i="18"/>
  <c r="N98" i="18" s="1"/>
  <c r="I97" i="18"/>
  <c r="N97" i="18" s="1"/>
  <c r="I96" i="18"/>
  <c r="N96" i="18"/>
  <c r="I95" i="18"/>
  <c r="N95" i="18" s="1"/>
  <c r="I94" i="18"/>
  <c r="N94" i="18" s="1"/>
  <c r="I88" i="18"/>
  <c r="N88" i="18" s="1"/>
  <c r="I87" i="18"/>
  <c r="N87" i="18" s="1"/>
  <c r="I86" i="18"/>
  <c r="N86" i="18" s="1"/>
  <c r="I85" i="18"/>
  <c r="N85" i="18" s="1"/>
  <c r="I84" i="18"/>
  <c r="N84" i="18" s="1"/>
  <c r="I78" i="18"/>
  <c r="N78" i="18" s="1"/>
  <c r="I77" i="18"/>
  <c r="N77" i="18" s="1"/>
  <c r="I76" i="18"/>
  <c r="N76" i="18" s="1"/>
  <c r="I75" i="18"/>
  <c r="N75" i="18" s="1"/>
  <c r="I74" i="18"/>
  <c r="N74" i="18" s="1"/>
  <c r="I68" i="18"/>
  <c r="N68" i="18" s="1"/>
  <c r="I67" i="18"/>
  <c r="N67" i="18" s="1"/>
  <c r="I66" i="18"/>
  <c r="N66" i="18" s="1"/>
  <c r="I65" i="18"/>
  <c r="N65" i="18" s="1"/>
  <c r="I64" i="18"/>
  <c r="N64" i="18" s="1"/>
  <c r="I57" i="18"/>
  <c r="N57" i="18" s="1"/>
  <c r="I56" i="18"/>
  <c r="N56" i="18"/>
  <c r="I55" i="18"/>
  <c r="N55" i="18" s="1"/>
  <c r="I54" i="18"/>
  <c r="N54" i="18"/>
  <c r="I53" i="18"/>
  <c r="N53" i="18" s="1"/>
  <c r="S80" i="5"/>
  <c r="S242" i="5"/>
  <c r="B249" i="5"/>
  <c r="S243" i="5" s="1"/>
  <c r="B250" i="5"/>
  <c r="S244" i="5" s="1"/>
  <c r="S323" i="5"/>
  <c r="B330" i="5"/>
  <c r="S324" i="5" s="1"/>
  <c r="B331" i="5"/>
  <c r="S325" i="5" s="1"/>
  <c r="S404" i="5"/>
  <c r="B411" i="5"/>
  <c r="S405" i="5"/>
  <c r="B412" i="5"/>
  <c r="S406" i="5" s="1"/>
  <c r="S485" i="5"/>
  <c r="B492" i="5"/>
  <c r="S486" i="5" s="1"/>
  <c r="B493" i="5"/>
  <c r="S487" i="5" s="1"/>
  <c r="T80" i="5"/>
  <c r="T242" i="5"/>
  <c r="C249" i="5"/>
  <c r="T243" i="5" s="1"/>
  <c r="T323" i="5"/>
  <c r="C330" i="5"/>
  <c r="T324" i="5" s="1"/>
  <c r="T404" i="5"/>
  <c r="C411" i="5"/>
  <c r="T405" i="5" s="1"/>
  <c r="T485" i="5"/>
  <c r="C492" i="5"/>
  <c r="T486" i="5" s="1"/>
  <c r="U80" i="5"/>
  <c r="D87" i="5"/>
  <c r="U81" i="5" s="1"/>
  <c r="U161" i="5"/>
  <c r="D168" i="5"/>
  <c r="U162" i="5"/>
  <c r="U242" i="5"/>
  <c r="D249" i="5"/>
  <c r="U243" i="5" s="1"/>
  <c r="U323" i="5"/>
  <c r="D330" i="5"/>
  <c r="U324" i="5" s="1"/>
  <c r="U404" i="5"/>
  <c r="D411" i="5"/>
  <c r="U405" i="5" s="1"/>
  <c r="U485" i="5"/>
  <c r="D492" i="5"/>
  <c r="U486" i="5"/>
  <c r="V80" i="5"/>
  <c r="E87" i="5"/>
  <c r="V81" i="5" s="1"/>
  <c r="V161" i="5"/>
  <c r="E168" i="5"/>
  <c r="V162" i="5" s="1"/>
  <c r="V242" i="5"/>
  <c r="E249" i="5"/>
  <c r="V243" i="5" s="1"/>
  <c r="V323" i="5"/>
  <c r="E330" i="5"/>
  <c r="V324" i="5" s="1"/>
  <c r="V404" i="5"/>
  <c r="E411" i="5"/>
  <c r="V405" i="5"/>
  <c r="V485" i="5"/>
  <c r="E492" i="5"/>
  <c r="V486" i="5" s="1"/>
  <c r="W80" i="5"/>
  <c r="F87" i="5"/>
  <c r="W81" i="5" s="1"/>
  <c r="W161" i="5"/>
  <c r="F168" i="5"/>
  <c r="W162" i="5" s="1"/>
  <c r="W242" i="5"/>
  <c r="F249" i="5"/>
  <c r="W243" i="5" s="1"/>
  <c r="W323" i="5"/>
  <c r="F330" i="5"/>
  <c r="W324" i="5" s="1"/>
  <c r="W404" i="5"/>
  <c r="F411" i="5"/>
  <c r="W405" i="5" s="1"/>
  <c r="W485" i="5"/>
  <c r="F492" i="5"/>
  <c r="W486" i="5" s="1"/>
  <c r="Y161" i="5"/>
  <c r="H168" i="5"/>
  <c r="Y162" i="5" s="1"/>
  <c r="Z161" i="5"/>
  <c r="I168" i="5"/>
  <c r="Z162" i="5" s="1"/>
  <c r="AA161" i="5"/>
  <c r="J168" i="5"/>
  <c r="AA162" i="5" s="1"/>
  <c r="AB161" i="5"/>
  <c r="K168" i="5"/>
  <c r="AB162" i="5"/>
  <c r="Y80" i="5"/>
  <c r="H87" i="5"/>
  <c r="Y81" i="5"/>
  <c r="Y242" i="5"/>
  <c r="H249" i="5"/>
  <c r="Y243" i="5" s="1"/>
  <c r="Y323" i="5"/>
  <c r="H330" i="5"/>
  <c r="Y324" i="5" s="1"/>
  <c r="Y404" i="5"/>
  <c r="H411" i="5"/>
  <c r="Y405" i="5" s="1"/>
  <c r="Y485" i="5"/>
  <c r="H492" i="5"/>
  <c r="Y486" i="5"/>
  <c r="Z80" i="5"/>
  <c r="I87" i="5"/>
  <c r="Z81" i="5"/>
  <c r="Z242" i="5"/>
  <c r="I249" i="5"/>
  <c r="Z243" i="5" s="1"/>
  <c r="Z323" i="5"/>
  <c r="I330" i="5"/>
  <c r="Z324" i="5" s="1"/>
  <c r="Z404" i="5"/>
  <c r="I411" i="5"/>
  <c r="Z405" i="5" s="1"/>
  <c r="Z485" i="5"/>
  <c r="I492" i="5"/>
  <c r="Z486" i="5" s="1"/>
  <c r="AA80" i="5"/>
  <c r="J87" i="5"/>
  <c r="AA81" i="5" s="1"/>
  <c r="AA242" i="5"/>
  <c r="J249" i="5"/>
  <c r="AA243" i="5" s="1"/>
  <c r="AA323" i="5"/>
  <c r="J330" i="5"/>
  <c r="AA324" i="5" s="1"/>
  <c r="AA404" i="5"/>
  <c r="J411" i="5"/>
  <c r="AA405" i="5" s="1"/>
  <c r="AA485" i="5"/>
  <c r="J492" i="5"/>
  <c r="AA486" i="5" s="1"/>
  <c r="AB80" i="5"/>
  <c r="K87" i="5"/>
  <c r="AB81" i="5"/>
  <c r="AB242" i="5"/>
  <c r="K249" i="5"/>
  <c r="AB243" i="5" s="1"/>
  <c r="AB323" i="5"/>
  <c r="K330" i="5"/>
  <c r="AB324" i="5" s="1"/>
  <c r="AB404" i="5"/>
  <c r="K411" i="5"/>
  <c r="AB405" i="5" s="1"/>
  <c r="AB485" i="5"/>
  <c r="K492" i="5"/>
  <c r="AB486" i="5" s="1"/>
  <c r="C250" i="5"/>
  <c r="T244" i="5"/>
  <c r="C331" i="5"/>
  <c r="T325" i="5" s="1"/>
  <c r="C412" i="5"/>
  <c r="T406" i="5" s="1"/>
  <c r="C493" i="5"/>
  <c r="T487" i="5" s="1"/>
  <c r="D88" i="5"/>
  <c r="U82" i="5" s="1"/>
  <c r="D169" i="5"/>
  <c r="U163" i="5" s="1"/>
  <c r="D250" i="5"/>
  <c r="U244" i="5" s="1"/>
  <c r="D331" i="5"/>
  <c r="U325" i="5" s="1"/>
  <c r="D412" i="5"/>
  <c r="U406" i="5" s="1"/>
  <c r="D493" i="5"/>
  <c r="U487" i="5" s="1"/>
  <c r="E88" i="5"/>
  <c r="V82" i="5" s="1"/>
  <c r="E169" i="5"/>
  <c r="V163" i="5" s="1"/>
  <c r="E250" i="5"/>
  <c r="V244" i="5" s="1"/>
  <c r="E331" i="5"/>
  <c r="V325" i="5"/>
  <c r="E412" i="5"/>
  <c r="V406" i="5" s="1"/>
  <c r="E493" i="5"/>
  <c r="V487" i="5" s="1"/>
  <c r="F88" i="5"/>
  <c r="W82" i="5" s="1"/>
  <c r="F169" i="5"/>
  <c r="W163" i="5" s="1"/>
  <c r="F250" i="5"/>
  <c r="W244" i="5" s="1"/>
  <c r="F331" i="5"/>
  <c r="W325" i="5" s="1"/>
  <c r="F412" i="5"/>
  <c r="W406" i="5" s="1"/>
  <c r="F493" i="5"/>
  <c r="W487" i="5" s="1"/>
  <c r="H169" i="5"/>
  <c r="Y163" i="5" s="1"/>
  <c r="I169" i="5"/>
  <c r="Z163" i="5" s="1"/>
  <c r="J169" i="5"/>
  <c r="AA163" i="5" s="1"/>
  <c r="K169" i="5"/>
  <c r="AB163" i="5" s="1"/>
  <c r="H88" i="5"/>
  <c r="Y82" i="5" s="1"/>
  <c r="H250" i="5"/>
  <c r="Y244" i="5" s="1"/>
  <c r="H331" i="5"/>
  <c r="Y325" i="5" s="1"/>
  <c r="H412" i="5"/>
  <c r="Y406" i="5" s="1"/>
  <c r="H493" i="5"/>
  <c r="Y487" i="5" s="1"/>
  <c r="I88" i="5"/>
  <c r="Z82" i="5" s="1"/>
  <c r="I250" i="5"/>
  <c r="Z244" i="5" s="1"/>
  <c r="I331" i="5"/>
  <c r="Z325" i="5" s="1"/>
  <c r="I412" i="5"/>
  <c r="Z406" i="5" s="1"/>
  <c r="I493" i="5"/>
  <c r="Z487" i="5" s="1"/>
  <c r="J88" i="5"/>
  <c r="AA82" i="5" s="1"/>
  <c r="J250" i="5"/>
  <c r="AA244" i="5" s="1"/>
  <c r="J331" i="5"/>
  <c r="AA325" i="5" s="1"/>
  <c r="J412" i="5"/>
  <c r="AA406" i="5" s="1"/>
  <c r="J493" i="5"/>
  <c r="AA487" i="5" s="1"/>
  <c r="K88" i="5"/>
  <c r="AB82" i="5"/>
  <c r="K250" i="5"/>
  <c r="AB244" i="5"/>
  <c r="K331" i="5"/>
  <c r="AB325" i="5" s="1"/>
  <c r="K412" i="5"/>
  <c r="AB406" i="5" s="1"/>
  <c r="K493" i="5"/>
  <c r="AB487" i="5" s="1"/>
  <c r="K47" i="1"/>
  <c r="K78" i="16"/>
  <c r="J47" i="1"/>
  <c r="J78" i="16"/>
  <c r="G47" i="1"/>
  <c r="G78" i="16"/>
  <c r="H47" i="1"/>
  <c r="H78" i="16"/>
  <c r="I47" i="1"/>
  <c r="I78" i="16"/>
  <c r="H51" i="5"/>
  <c r="H59" i="5"/>
  <c r="H67" i="5"/>
  <c r="H75" i="5"/>
  <c r="H82" i="5"/>
  <c r="H104" i="5"/>
  <c r="H30" i="1"/>
  <c r="H34" i="1"/>
  <c r="H41" i="1"/>
  <c r="K63" i="9"/>
  <c r="K64" i="9"/>
  <c r="K66" i="9"/>
  <c r="K63" i="7"/>
  <c r="K64" i="7"/>
  <c r="K66" i="7"/>
  <c r="K63" i="8"/>
  <c r="K64" i="8"/>
  <c r="K63" i="10"/>
  <c r="K64" i="10"/>
  <c r="K66" i="10"/>
  <c r="K63" i="4"/>
  <c r="K51" i="5"/>
  <c r="K59" i="5"/>
  <c r="K67" i="5"/>
  <c r="K75" i="5"/>
  <c r="K82" i="5"/>
  <c r="K104" i="5"/>
  <c r="K30" i="1"/>
  <c r="K34" i="1"/>
  <c r="K41" i="1"/>
  <c r="G51" i="5"/>
  <c r="G59" i="5"/>
  <c r="G67" i="5"/>
  <c r="G75" i="5"/>
  <c r="G82" i="5"/>
  <c r="G104" i="5"/>
  <c r="G30" i="1"/>
  <c r="G34" i="1"/>
  <c r="G41" i="1"/>
  <c r="J51" i="5"/>
  <c r="J59" i="5"/>
  <c r="J67" i="5"/>
  <c r="J75" i="5"/>
  <c r="J82" i="5"/>
  <c r="J104" i="5"/>
  <c r="J30" i="1"/>
  <c r="J34" i="1"/>
  <c r="J41" i="1"/>
  <c r="I51" i="5"/>
  <c r="I59" i="5"/>
  <c r="I67" i="5"/>
  <c r="I75" i="5"/>
  <c r="I82" i="5"/>
  <c r="I104" i="5"/>
  <c r="I30" i="1"/>
  <c r="I34" i="1"/>
  <c r="I41" i="1"/>
  <c r="K66" i="8"/>
  <c r="K64" i="4"/>
  <c r="K59" i="1"/>
  <c r="B72" i="5"/>
  <c r="C75" i="5"/>
  <c r="D75" i="5"/>
  <c r="B75" i="5"/>
  <c r="B79" i="5"/>
  <c r="B101" i="5"/>
  <c r="D51" i="5"/>
  <c r="B48" i="5"/>
  <c r="D59" i="5"/>
  <c r="B56" i="5"/>
  <c r="D67" i="5"/>
  <c r="B64" i="5"/>
  <c r="B34" i="1"/>
  <c r="B153" i="5"/>
  <c r="C156" i="5"/>
  <c r="D156" i="5"/>
  <c r="B156" i="5"/>
  <c r="B160" i="5"/>
  <c r="B182" i="5"/>
  <c r="D132" i="5"/>
  <c r="B129" i="5"/>
  <c r="D140" i="5"/>
  <c r="B137" i="5"/>
  <c r="D148" i="5"/>
  <c r="B145" i="5"/>
  <c r="B34" i="11"/>
  <c r="B234" i="5"/>
  <c r="C237" i="5"/>
  <c r="D237" i="5"/>
  <c r="B237" i="5"/>
  <c r="B241" i="5"/>
  <c r="B263" i="5"/>
  <c r="D213" i="5"/>
  <c r="B210" i="5"/>
  <c r="D221" i="5"/>
  <c r="B218" i="5"/>
  <c r="D229" i="5"/>
  <c r="B226" i="5"/>
  <c r="B36" i="12"/>
  <c r="B315" i="5"/>
  <c r="C318" i="5"/>
  <c r="D318" i="5"/>
  <c r="B318" i="5"/>
  <c r="B322" i="5"/>
  <c r="B344" i="5"/>
  <c r="D294" i="5"/>
  <c r="B291" i="5"/>
  <c r="D302" i="5"/>
  <c r="B299" i="5"/>
  <c r="D310" i="5"/>
  <c r="B307" i="5"/>
  <c r="B36" i="13"/>
  <c r="B396" i="5"/>
  <c r="C399" i="5"/>
  <c r="D399" i="5"/>
  <c r="B399" i="5"/>
  <c r="B403" i="5"/>
  <c r="B425" i="5"/>
  <c r="D375" i="5"/>
  <c r="B372" i="5"/>
  <c r="D383" i="5"/>
  <c r="B380" i="5"/>
  <c r="D391" i="5"/>
  <c r="B388" i="5"/>
  <c r="B36" i="14"/>
  <c r="B477" i="5"/>
  <c r="C480" i="5"/>
  <c r="D480" i="5"/>
  <c r="B480" i="5"/>
  <c r="B484" i="5"/>
  <c r="B506" i="5"/>
  <c r="D456" i="5"/>
  <c r="B453" i="5"/>
  <c r="D464" i="5"/>
  <c r="B461" i="5"/>
  <c r="C461" i="5"/>
  <c r="C462" i="5" s="1"/>
  <c r="D472" i="5"/>
  <c r="B469" i="5"/>
  <c r="B36" i="15"/>
  <c r="E75" i="5"/>
  <c r="E51" i="5"/>
  <c r="E59" i="5"/>
  <c r="E67" i="5"/>
  <c r="C34" i="1"/>
  <c r="E156" i="5"/>
  <c r="E132" i="5"/>
  <c r="E140" i="5"/>
  <c r="E148" i="5"/>
  <c r="C34" i="11"/>
  <c r="E237" i="5"/>
  <c r="E213" i="5"/>
  <c r="E221" i="5"/>
  <c r="E229" i="5"/>
  <c r="C36" i="12"/>
  <c r="E318" i="5"/>
  <c r="E294" i="5"/>
  <c r="E302" i="5"/>
  <c r="E310" i="5"/>
  <c r="C36" i="13"/>
  <c r="E399" i="5"/>
  <c r="E375" i="5"/>
  <c r="E383" i="5"/>
  <c r="E391" i="5"/>
  <c r="C36" i="14"/>
  <c r="E480" i="5"/>
  <c r="E456" i="5"/>
  <c r="E464" i="5"/>
  <c r="E472" i="5"/>
  <c r="C36" i="15"/>
  <c r="F75" i="5"/>
  <c r="F51" i="5"/>
  <c r="F59" i="5"/>
  <c r="F67" i="5"/>
  <c r="D34" i="1"/>
  <c r="F156" i="5"/>
  <c r="F132" i="5"/>
  <c r="F140" i="5"/>
  <c r="F148" i="5"/>
  <c r="D34" i="11"/>
  <c r="F237" i="5"/>
  <c r="F213" i="5"/>
  <c r="F221" i="5"/>
  <c r="F229" i="5"/>
  <c r="D36" i="12"/>
  <c r="F318" i="5"/>
  <c r="F294" i="5"/>
  <c r="F302" i="5"/>
  <c r="F310" i="5"/>
  <c r="D36" i="13"/>
  <c r="F399" i="5"/>
  <c r="F375" i="5"/>
  <c r="F383" i="5"/>
  <c r="F391" i="5"/>
  <c r="D36" i="14"/>
  <c r="F480" i="5"/>
  <c r="F456" i="5"/>
  <c r="F464" i="5"/>
  <c r="F472" i="5"/>
  <c r="D36" i="15"/>
  <c r="E34" i="1"/>
  <c r="G156" i="5"/>
  <c r="G132" i="5"/>
  <c r="G140" i="5"/>
  <c r="G148" i="5"/>
  <c r="E34" i="11"/>
  <c r="G237" i="5"/>
  <c r="G213" i="5"/>
  <c r="G221" i="5"/>
  <c r="G229" i="5"/>
  <c r="E36" i="12"/>
  <c r="G318" i="5"/>
  <c r="G294" i="5"/>
  <c r="G302" i="5"/>
  <c r="G310" i="5"/>
  <c r="E36" i="13"/>
  <c r="G399" i="5"/>
  <c r="G375" i="5"/>
  <c r="G383" i="5"/>
  <c r="G391" i="5"/>
  <c r="E36" i="14"/>
  <c r="G480" i="5"/>
  <c r="G456" i="5"/>
  <c r="G464" i="5"/>
  <c r="G472" i="5"/>
  <c r="E36" i="15"/>
  <c r="F34" i="1"/>
  <c r="H156" i="5"/>
  <c r="H132" i="5"/>
  <c r="H140" i="5"/>
  <c r="H148" i="5"/>
  <c r="F34" i="11"/>
  <c r="H237" i="5"/>
  <c r="H213" i="5"/>
  <c r="H221" i="5"/>
  <c r="H229" i="5"/>
  <c r="F36" i="12"/>
  <c r="H318" i="5"/>
  <c r="H294" i="5"/>
  <c r="H302" i="5"/>
  <c r="H310" i="5"/>
  <c r="F36" i="13"/>
  <c r="H399" i="5"/>
  <c r="H375" i="5"/>
  <c r="H383" i="5"/>
  <c r="H391" i="5"/>
  <c r="F36" i="14"/>
  <c r="H480" i="5"/>
  <c r="H456" i="5"/>
  <c r="H464" i="5"/>
  <c r="H472" i="5"/>
  <c r="F36" i="15"/>
  <c r="I156" i="5"/>
  <c r="I132" i="5"/>
  <c r="I140" i="5"/>
  <c r="I148" i="5"/>
  <c r="G34" i="11"/>
  <c r="I237" i="5"/>
  <c r="I213" i="5"/>
  <c r="I221" i="5"/>
  <c r="I229" i="5"/>
  <c r="G36" i="12"/>
  <c r="I318" i="5"/>
  <c r="I294" i="5"/>
  <c r="I302" i="5"/>
  <c r="I310" i="5"/>
  <c r="G36" i="13"/>
  <c r="I399" i="5"/>
  <c r="I375" i="5"/>
  <c r="I383" i="5"/>
  <c r="I391" i="5"/>
  <c r="G36" i="14"/>
  <c r="I480" i="5"/>
  <c r="I456" i="5"/>
  <c r="I464" i="5"/>
  <c r="I472" i="5"/>
  <c r="G36" i="15"/>
  <c r="J156" i="5"/>
  <c r="J132" i="5"/>
  <c r="J140" i="5"/>
  <c r="J148" i="5"/>
  <c r="H34" i="11"/>
  <c r="J237" i="5"/>
  <c r="J213" i="5"/>
  <c r="J221" i="5"/>
  <c r="J229" i="5"/>
  <c r="H36" i="12"/>
  <c r="J318" i="5"/>
  <c r="J294" i="5"/>
  <c r="J302" i="5"/>
  <c r="J310" i="5"/>
  <c r="H36" i="13"/>
  <c r="J399" i="5"/>
  <c r="J375" i="5"/>
  <c r="J383" i="5"/>
  <c r="J391" i="5"/>
  <c r="H36" i="14"/>
  <c r="J480" i="5"/>
  <c r="J456" i="5"/>
  <c r="J464" i="5"/>
  <c r="J472" i="5"/>
  <c r="H36" i="15"/>
  <c r="K156" i="5"/>
  <c r="K132" i="5"/>
  <c r="K140" i="5"/>
  <c r="K148" i="5"/>
  <c r="I34" i="11"/>
  <c r="K237" i="5"/>
  <c r="K213" i="5"/>
  <c r="K221" i="5"/>
  <c r="K229" i="5"/>
  <c r="I36" i="12"/>
  <c r="K318" i="5"/>
  <c r="K294" i="5"/>
  <c r="K302" i="5"/>
  <c r="K310" i="5"/>
  <c r="I36" i="13"/>
  <c r="K399" i="5"/>
  <c r="K375" i="5"/>
  <c r="K383" i="5"/>
  <c r="K391" i="5"/>
  <c r="I36" i="14"/>
  <c r="K480" i="5"/>
  <c r="K456" i="5"/>
  <c r="K464" i="5"/>
  <c r="K472" i="5"/>
  <c r="I36" i="15"/>
  <c r="L75" i="5"/>
  <c r="L51" i="5"/>
  <c r="L59" i="5"/>
  <c r="L67" i="5"/>
  <c r="L156" i="5"/>
  <c r="L132" i="5"/>
  <c r="L140" i="5"/>
  <c r="L148" i="5"/>
  <c r="J34" i="11"/>
  <c r="L237" i="5"/>
  <c r="L213" i="5"/>
  <c r="L221" i="5"/>
  <c r="L229" i="5"/>
  <c r="J36" i="12"/>
  <c r="L318" i="5"/>
  <c r="L294" i="5"/>
  <c r="L302" i="5"/>
  <c r="L310" i="5"/>
  <c r="J36" i="13"/>
  <c r="L399" i="5"/>
  <c r="L375" i="5"/>
  <c r="L383" i="5"/>
  <c r="L391" i="5"/>
  <c r="J36" i="14"/>
  <c r="L480" i="5"/>
  <c r="L456" i="5"/>
  <c r="L464" i="5"/>
  <c r="L472" i="5"/>
  <c r="J36" i="15"/>
  <c r="M51" i="5"/>
  <c r="M59" i="5"/>
  <c r="M67" i="5"/>
  <c r="M132" i="5"/>
  <c r="M140" i="5"/>
  <c r="M148" i="5"/>
  <c r="K34" i="11"/>
  <c r="M213" i="5"/>
  <c r="M221" i="5"/>
  <c r="M229" i="5"/>
  <c r="K36" i="12"/>
  <c r="M294" i="5"/>
  <c r="M302" i="5"/>
  <c r="M310" i="5"/>
  <c r="K36" i="13"/>
  <c r="M375" i="5"/>
  <c r="M383" i="5"/>
  <c r="M391" i="5"/>
  <c r="K36" i="14"/>
  <c r="M456" i="5"/>
  <c r="M464" i="5"/>
  <c r="M472" i="5"/>
  <c r="K36" i="15"/>
  <c r="B81" i="16"/>
  <c r="B74" i="16"/>
  <c r="B75" i="16"/>
  <c r="B76" i="16"/>
  <c r="B77" i="16"/>
  <c r="B82" i="16"/>
  <c r="B60" i="16"/>
  <c r="B61" i="16"/>
  <c r="B63" i="16"/>
  <c r="B64" i="16"/>
  <c r="B65" i="16"/>
  <c r="B67" i="16"/>
  <c r="B68" i="16"/>
  <c r="B69" i="16"/>
  <c r="B70" i="16"/>
  <c r="B71" i="16"/>
  <c r="B72" i="16"/>
  <c r="C81" i="16"/>
  <c r="C74" i="16"/>
  <c r="C75" i="16"/>
  <c r="C76" i="16"/>
  <c r="C77" i="16"/>
  <c r="C82" i="16"/>
  <c r="C60" i="16"/>
  <c r="C61" i="16"/>
  <c r="C63" i="16"/>
  <c r="C64" i="16"/>
  <c r="C65" i="16"/>
  <c r="C67" i="16"/>
  <c r="C68" i="16"/>
  <c r="C69" i="16"/>
  <c r="C70" i="16"/>
  <c r="C71" i="16"/>
  <c r="C72" i="16"/>
  <c r="D81" i="16"/>
  <c r="D74" i="16"/>
  <c r="D75" i="16"/>
  <c r="D76" i="16"/>
  <c r="D77" i="16"/>
  <c r="D82" i="16"/>
  <c r="D60" i="16"/>
  <c r="D61" i="16"/>
  <c r="D63" i="16"/>
  <c r="D64" i="16"/>
  <c r="D65" i="16"/>
  <c r="D67" i="16"/>
  <c r="D68" i="16"/>
  <c r="D69" i="16"/>
  <c r="D70" i="16"/>
  <c r="D71" i="16"/>
  <c r="D72" i="16"/>
  <c r="E81" i="16"/>
  <c r="E74" i="16"/>
  <c r="E75" i="16"/>
  <c r="E76" i="16"/>
  <c r="E77" i="16"/>
  <c r="E82" i="16"/>
  <c r="E60" i="16"/>
  <c r="E61" i="16"/>
  <c r="E63" i="16"/>
  <c r="E64" i="16"/>
  <c r="E65" i="16"/>
  <c r="E67" i="16"/>
  <c r="E68" i="16"/>
  <c r="E69" i="16"/>
  <c r="E70" i="16"/>
  <c r="E71" i="16"/>
  <c r="E72" i="16"/>
  <c r="F81" i="16"/>
  <c r="F74" i="16"/>
  <c r="F75" i="16"/>
  <c r="F76" i="16"/>
  <c r="F77" i="16"/>
  <c r="F82" i="16"/>
  <c r="F60" i="16"/>
  <c r="F61" i="16"/>
  <c r="F63" i="16"/>
  <c r="F64" i="16"/>
  <c r="F65" i="16"/>
  <c r="F67" i="16"/>
  <c r="F68" i="16"/>
  <c r="F69" i="16"/>
  <c r="F70" i="16"/>
  <c r="F71" i="16"/>
  <c r="F72" i="16"/>
  <c r="G81" i="16"/>
  <c r="G74" i="16"/>
  <c r="G75" i="16"/>
  <c r="G76" i="16"/>
  <c r="G77" i="16"/>
  <c r="G82" i="16"/>
  <c r="G60" i="16"/>
  <c r="G61" i="16"/>
  <c r="G63" i="16"/>
  <c r="G64" i="16"/>
  <c r="G65" i="16"/>
  <c r="G67" i="16"/>
  <c r="G68" i="16"/>
  <c r="G69" i="16"/>
  <c r="G70" i="16"/>
  <c r="G71" i="16"/>
  <c r="G72" i="16"/>
  <c r="H81" i="16"/>
  <c r="H74" i="16"/>
  <c r="H75" i="16"/>
  <c r="H76" i="16"/>
  <c r="H77" i="16"/>
  <c r="H82" i="16"/>
  <c r="H60" i="16"/>
  <c r="H61" i="16"/>
  <c r="H63" i="16"/>
  <c r="H64" i="16"/>
  <c r="H65" i="16"/>
  <c r="H67" i="16"/>
  <c r="H68" i="16"/>
  <c r="H69" i="16"/>
  <c r="H70" i="16"/>
  <c r="H71" i="16"/>
  <c r="H72" i="16"/>
  <c r="I81" i="16"/>
  <c r="I74" i="16"/>
  <c r="I75" i="16"/>
  <c r="I76" i="16"/>
  <c r="I77" i="16"/>
  <c r="I82" i="16"/>
  <c r="I60" i="16"/>
  <c r="I61" i="16"/>
  <c r="I63" i="16"/>
  <c r="I64" i="16"/>
  <c r="I65" i="16"/>
  <c r="I67" i="16"/>
  <c r="I68" i="16"/>
  <c r="I69" i="16"/>
  <c r="I70" i="16"/>
  <c r="I71" i="16"/>
  <c r="I72" i="16"/>
  <c r="J81" i="16"/>
  <c r="J74" i="16"/>
  <c r="J75" i="16"/>
  <c r="J76" i="16"/>
  <c r="J77" i="16"/>
  <c r="J82" i="16"/>
  <c r="J60" i="16"/>
  <c r="J61" i="16"/>
  <c r="J63" i="16"/>
  <c r="J64" i="16"/>
  <c r="J65" i="16"/>
  <c r="J67" i="16"/>
  <c r="J68" i="16"/>
  <c r="J69" i="16"/>
  <c r="J70" i="16"/>
  <c r="J71" i="16"/>
  <c r="J72" i="16"/>
  <c r="K81" i="16"/>
  <c r="K74" i="16"/>
  <c r="K75" i="16"/>
  <c r="K76" i="16"/>
  <c r="K77" i="16"/>
  <c r="K82" i="16"/>
  <c r="K60" i="16"/>
  <c r="K61" i="16"/>
  <c r="K63" i="16"/>
  <c r="K64" i="16"/>
  <c r="K65" i="16"/>
  <c r="K67" i="16"/>
  <c r="K68" i="16"/>
  <c r="K69" i="16"/>
  <c r="K70" i="16"/>
  <c r="K71" i="16"/>
  <c r="K72" i="16"/>
  <c r="J230" i="5"/>
  <c r="K230" i="5"/>
  <c r="L230" i="5"/>
  <c r="M230" i="5"/>
  <c r="AC406" i="5"/>
  <c r="AC405" i="5"/>
  <c r="AC404" i="5"/>
  <c r="AC325" i="5"/>
  <c r="AC324" i="5"/>
  <c r="AC323" i="5"/>
  <c r="AC244" i="5"/>
  <c r="AC243" i="5"/>
  <c r="AC242" i="5"/>
  <c r="B194" i="5"/>
  <c r="B275" i="5"/>
  <c r="B356" i="5"/>
  <c r="B437" i="5"/>
  <c r="C82" i="5"/>
  <c r="C104" i="5"/>
  <c r="C163" i="5"/>
  <c r="C185" i="5"/>
  <c r="C244" i="5"/>
  <c r="C266" i="5"/>
  <c r="C302" i="5"/>
  <c r="C310" i="5"/>
  <c r="C325" i="5"/>
  <c r="C347" i="5"/>
  <c r="C406" i="5"/>
  <c r="C428" i="5"/>
  <c r="B61" i="14"/>
  <c r="C487" i="5"/>
  <c r="C509" i="5"/>
  <c r="D487" i="5"/>
  <c r="D509" i="5"/>
  <c r="E487" i="5"/>
  <c r="E509" i="5"/>
  <c r="F487" i="5"/>
  <c r="F509" i="5"/>
  <c r="G487" i="5"/>
  <c r="G509" i="5"/>
  <c r="H487" i="5"/>
  <c r="H509" i="5"/>
  <c r="I487" i="5"/>
  <c r="I509" i="5"/>
  <c r="J487" i="5"/>
  <c r="J509" i="5"/>
  <c r="K487" i="5"/>
  <c r="K509" i="5"/>
  <c r="L487" i="5"/>
  <c r="L509" i="5"/>
  <c r="D406" i="5"/>
  <c r="D428" i="5"/>
  <c r="C61" i="14"/>
  <c r="E406" i="5"/>
  <c r="E428" i="5"/>
  <c r="D61" i="14"/>
  <c r="F406" i="5"/>
  <c r="F428" i="5"/>
  <c r="G406" i="5"/>
  <c r="G428" i="5"/>
  <c r="H406" i="5"/>
  <c r="H428" i="5"/>
  <c r="I406" i="5"/>
  <c r="I428" i="5"/>
  <c r="J406" i="5"/>
  <c r="J428" i="5"/>
  <c r="K406" i="5"/>
  <c r="K428" i="5"/>
  <c r="L406" i="5"/>
  <c r="L428" i="5"/>
  <c r="D325" i="5"/>
  <c r="D347" i="5"/>
  <c r="E325" i="5"/>
  <c r="E347" i="5"/>
  <c r="F325" i="5"/>
  <c r="F347" i="5"/>
  <c r="G325" i="5"/>
  <c r="G347" i="5"/>
  <c r="H325" i="5"/>
  <c r="H347" i="5"/>
  <c r="I325" i="5"/>
  <c r="I347" i="5"/>
  <c r="J325" i="5"/>
  <c r="J347" i="5"/>
  <c r="K325" i="5"/>
  <c r="K347" i="5"/>
  <c r="L325" i="5"/>
  <c r="L347" i="5"/>
  <c r="D244" i="5"/>
  <c r="D266" i="5"/>
  <c r="E244" i="5"/>
  <c r="E266" i="5"/>
  <c r="F244" i="5"/>
  <c r="F266" i="5"/>
  <c r="G244" i="5"/>
  <c r="G266" i="5"/>
  <c r="H244" i="5"/>
  <c r="H266" i="5"/>
  <c r="I244" i="5"/>
  <c r="I266" i="5"/>
  <c r="J244" i="5"/>
  <c r="J266" i="5"/>
  <c r="K244" i="5"/>
  <c r="K266" i="5"/>
  <c r="L244" i="5"/>
  <c r="L266" i="5"/>
  <c r="D163" i="5"/>
  <c r="D185" i="5"/>
  <c r="E163" i="5"/>
  <c r="E185" i="5"/>
  <c r="F163" i="5"/>
  <c r="F185" i="5"/>
  <c r="G163" i="5"/>
  <c r="G185" i="5"/>
  <c r="H163" i="5"/>
  <c r="H185" i="5"/>
  <c r="I163" i="5"/>
  <c r="I185" i="5"/>
  <c r="J163" i="5"/>
  <c r="J185" i="5"/>
  <c r="K163" i="5"/>
  <c r="K185" i="5"/>
  <c r="L163" i="5"/>
  <c r="L185" i="5"/>
  <c r="AC163" i="5"/>
  <c r="AC162" i="5"/>
  <c r="AC161" i="5"/>
  <c r="D82" i="5"/>
  <c r="D104" i="5"/>
  <c r="E82" i="5"/>
  <c r="E104" i="5"/>
  <c r="F82" i="5"/>
  <c r="F104" i="5"/>
  <c r="L82" i="5"/>
  <c r="L104" i="5"/>
  <c r="AC80" i="5"/>
  <c r="AC81" i="5"/>
  <c r="AC82" i="5"/>
  <c r="M473" i="5"/>
  <c r="M465" i="5"/>
  <c r="M457" i="5"/>
  <c r="M392" i="5"/>
  <c r="M384" i="5"/>
  <c r="M376" i="5"/>
  <c r="M311" i="5"/>
  <c r="M303" i="5"/>
  <c r="M295" i="5"/>
  <c r="M222" i="5"/>
  <c r="M214" i="5"/>
  <c r="M149" i="5"/>
  <c r="M141" i="5"/>
  <c r="M133" i="5"/>
  <c r="M68" i="5"/>
  <c r="M60" i="5"/>
  <c r="M52" i="5"/>
  <c r="U115" i="16"/>
  <c r="V115" i="16"/>
  <c r="W115" i="16"/>
  <c r="X115" i="16"/>
  <c r="C51" i="5"/>
  <c r="C59" i="5"/>
  <c r="C67" i="5"/>
  <c r="C132" i="5"/>
  <c r="C140" i="5"/>
  <c r="C148" i="5"/>
  <c r="C213" i="5"/>
  <c r="C221" i="5"/>
  <c r="C229" i="5"/>
  <c r="C294" i="5"/>
  <c r="C375" i="5"/>
  <c r="C383" i="5"/>
  <c r="C391" i="5"/>
  <c r="C456" i="5"/>
  <c r="C464" i="5"/>
  <c r="C472" i="5"/>
  <c r="L75" i="16"/>
  <c r="L76" i="16"/>
  <c r="L77" i="16"/>
  <c r="L81" i="16"/>
  <c r="L82" i="16"/>
  <c r="L74" i="16"/>
  <c r="L68" i="16"/>
  <c r="L69" i="16"/>
  <c r="L70" i="16"/>
  <c r="L71" i="16"/>
  <c r="L67" i="16"/>
  <c r="L64" i="16"/>
  <c r="L63" i="16"/>
  <c r="L60" i="16"/>
  <c r="B5" i="16"/>
  <c r="B6" i="16" s="1"/>
  <c r="C5" i="16" s="1"/>
  <c r="C6" i="16" s="1"/>
  <c r="D5" i="16" s="1"/>
  <c r="D6" i="16" s="1"/>
  <c r="E5" i="16" s="1"/>
  <c r="E6" i="16" s="1"/>
  <c r="F5" i="16" s="1"/>
  <c r="F6" i="16" s="1"/>
  <c r="G5" i="16" s="1"/>
  <c r="G6" i="16" s="1"/>
  <c r="H5" i="16" s="1"/>
  <c r="H6" i="16" s="1"/>
  <c r="I5" i="16" s="1"/>
  <c r="I6" i="16" s="1"/>
  <c r="J5" i="16" s="1"/>
  <c r="J6" i="16" s="1"/>
  <c r="K5" i="16" s="1"/>
  <c r="K6" i="16" s="1"/>
  <c r="L46" i="15"/>
  <c r="L47" i="15"/>
  <c r="L48" i="15"/>
  <c r="L49" i="15"/>
  <c r="L52" i="15"/>
  <c r="L53" i="15"/>
  <c r="L45" i="15"/>
  <c r="L39" i="15"/>
  <c r="L40" i="15"/>
  <c r="L41" i="15"/>
  <c r="L42" i="15"/>
  <c r="L38" i="15"/>
  <c r="L35" i="15"/>
  <c r="L34" i="15"/>
  <c r="L31" i="15"/>
  <c r="L30" i="15"/>
  <c r="L18" i="15"/>
  <c r="G32" i="15"/>
  <c r="H32" i="15"/>
  <c r="I32" i="15"/>
  <c r="J32" i="15"/>
  <c r="K32" i="15"/>
  <c r="G43" i="15"/>
  <c r="H43" i="15"/>
  <c r="I43" i="15"/>
  <c r="J43" i="15"/>
  <c r="K43" i="15"/>
  <c r="G61" i="15"/>
  <c r="H61" i="15"/>
  <c r="I61" i="15"/>
  <c r="J61" i="15"/>
  <c r="K61" i="15"/>
  <c r="B32" i="15"/>
  <c r="B43" i="15"/>
  <c r="B61" i="15"/>
  <c r="C61" i="15"/>
  <c r="D61" i="15"/>
  <c r="E61" i="15"/>
  <c r="F61" i="15"/>
  <c r="L61" i="15"/>
  <c r="C32" i="15"/>
  <c r="C43" i="15"/>
  <c r="D32" i="15"/>
  <c r="D43" i="15"/>
  <c r="E32" i="15"/>
  <c r="E43" i="15"/>
  <c r="F32" i="15"/>
  <c r="F43" i="15"/>
  <c r="B5" i="15"/>
  <c r="B6" i="15" s="1"/>
  <c r="C5" i="15" s="1"/>
  <c r="C6" i="15" s="1"/>
  <c r="D5" i="15" s="1"/>
  <c r="D6" i="15" s="1"/>
  <c r="E5" i="15" s="1"/>
  <c r="E6" i="15" s="1"/>
  <c r="F5" i="15" s="1"/>
  <c r="F6" i="15" s="1"/>
  <c r="G5" i="15" s="1"/>
  <c r="G6" i="15" s="1"/>
  <c r="H5" i="15" s="1"/>
  <c r="H6" i="15" s="1"/>
  <c r="I5" i="15" s="1"/>
  <c r="I6" i="15" s="1"/>
  <c r="J5" i="15" s="1"/>
  <c r="J6" i="15" s="1"/>
  <c r="K5" i="15" s="1"/>
  <c r="K6" i="15" s="1"/>
  <c r="A9" i="5"/>
  <c r="B9" i="5" s="1"/>
  <c r="A10" i="5" s="1"/>
  <c r="B10" i="5" s="1"/>
  <c r="X66" i="15"/>
  <c r="T66" i="15"/>
  <c r="U66" i="15"/>
  <c r="V66" i="15"/>
  <c r="W66" i="15"/>
  <c r="L46" i="14"/>
  <c r="L47" i="14"/>
  <c r="L48" i="14"/>
  <c r="L49" i="14"/>
  <c r="L52" i="14"/>
  <c r="L53" i="14"/>
  <c r="L45" i="14"/>
  <c r="L39" i="14"/>
  <c r="L40" i="14"/>
  <c r="L41" i="14"/>
  <c r="L42" i="14"/>
  <c r="L38" i="14"/>
  <c r="L35" i="14"/>
  <c r="L34" i="14"/>
  <c r="L31" i="14"/>
  <c r="L30" i="14"/>
  <c r="L18" i="14"/>
  <c r="F32" i="14"/>
  <c r="G32" i="14"/>
  <c r="H32" i="14"/>
  <c r="I32" i="14"/>
  <c r="J32" i="14"/>
  <c r="K32" i="14"/>
  <c r="F43" i="14"/>
  <c r="G43" i="14"/>
  <c r="H43" i="14"/>
  <c r="I43" i="14"/>
  <c r="J43" i="14"/>
  <c r="K43" i="14"/>
  <c r="F61" i="14"/>
  <c r="G61" i="14"/>
  <c r="H61" i="14"/>
  <c r="I61" i="14"/>
  <c r="J61" i="14"/>
  <c r="K61" i="14"/>
  <c r="B32" i="14"/>
  <c r="B43" i="14"/>
  <c r="C32" i="14"/>
  <c r="C43" i="14"/>
  <c r="D32" i="14"/>
  <c r="D43" i="14"/>
  <c r="E32" i="14"/>
  <c r="E43" i="14"/>
  <c r="E61" i="14"/>
  <c r="L61" i="14"/>
  <c r="B5" i="14"/>
  <c r="B6" i="14" s="1"/>
  <c r="C5" i="14" s="1"/>
  <c r="C6" i="14" s="1"/>
  <c r="D5" i="14" s="1"/>
  <c r="D6" i="14" s="1"/>
  <c r="E5" i="14" s="1"/>
  <c r="E6" i="14" s="1"/>
  <c r="F5" i="14" s="1"/>
  <c r="F6" i="14" s="1"/>
  <c r="G5" i="14" s="1"/>
  <c r="G6" i="14" s="1"/>
  <c r="H5" i="14" s="1"/>
  <c r="H6" i="14" s="1"/>
  <c r="I5" i="14" s="1"/>
  <c r="I6" i="14" s="1"/>
  <c r="J5" i="14" s="1"/>
  <c r="J6" i="14" s="1"/>
  <c r="K5" i="14" s="1"/>
  <c r="K6" i="14" s="1"/>
  <c r="T66" i="14"/>
  <c r="U66" i="14"/>
  <c r="V66" i="14"/>
  <c r="W66" i="14"/>
  <c r="X66" i="14"/>
  <c r="E473" i="5"/>
  <c r="F473" i="5"/>
  <c r="G473" i="5"/>
  <c r="H473" i="5"/>
  <c r="I473" i="5"/>
  <c r="J473" i="5"/>
  <c r="K473" i="5"/>
  <c r="L473" i="5"/>
  <c r="E465" i="5"/>
  <c r="F465" i="5"/>
  <c r="G465" i="5"/>
  <c r="H465" i="5"/>
  <c r="I465" i="5"/>
  <c r="J465" i="5"/>
  <c r="K465" i="5"/>
  <c r="L465" i="5"/>
  <c r="E457" i="5"/>
  <c r="F457" i="5"/>
  <c r="G457" i="5"/>
  <c r="H457" i="5"/>
  <c r="I457" i="5"/>
  <c r="J457" i="5"/>
  <c r="K457" i="5"/>
  <c r="L457" i="5"/>
  <c r="E392" i="5"/>
  <c r="F392" i="5"/>
  <c r="G392" i="5"/>
  <c r="H392" i="5"/>
  <c r="I392" i="5"/>
  <c r="J392" i="5"/>
  <c r="K392" i="5"/>
  <c r="L392" i="5"/>
  <c r="E384" i="5"/>
  <c r="F384" i="5"/>
  <c r="G384" i="5"/>
  <c r="H384" i="5"/>
  <c r="I384" i="5"/>
  <c r="J384" i="5"/>
  <c r="K384" i="5"/>
  <c r="L384" i="5"/>
  <c r="G376" i="5"/>
  <c r="H376" i="5"/>
  <c r="I376" i="5"/>
  <c r="J376" i="5"/>
  <c r="K376" i="5"/>
  <c r="L376" i="5"/>
  <c r="T66" i="13"/>
  <c r="U66" i="13"/>
  <c r="V66" i="13"/>
  <c r="W66" i="13"/>
  <c r="X66" i="13"/>
  <c r="G32" i="13"/>
  <c r="G43" i="13"/>
  <c r="G61" i="13"/>
  <c r="H32" i="13"/>
  <c r="H43" i="13"/>
  <c r="H61" i="13"/>
  <c r="I32" i="13"/>
  <c r="I43" i="13"/>
  <c r="I61" i="13"/>
  <c r="J32" i="13"/>
  <c r="J43" i="13"/>
  <c r="J61" i="13"/>
  <c r="K32" i="13"/>
  <c r="K43" i="13"/>
  <c r="K61" i="13"/>
  <c r="B32" i="13"/>
  <c r="B43" i="13"/>
  <c r="B61" i="13"/>
  <c r="C32" i="13"/>
  <c r="C43" i="13"/>
  <c r="C61" i="13"/>
  <c r="D32" i="13"/>
  <c r="D43" i="13"/>
  <c r="D61" i="13"/>
  <c r="E32" i="13"/>
  <c r="E43" i="13"/>
  <c r="E61" i="13"/>
  <c r="F32" i="13"/>
  <c r="F43" i="13"/>
  <c r="F61" i="13"/>
  <c r="L61" i="13"/>
  <c r="L46" i="13"/>
  <c r="L47" i="13"/>
  <c r="L48" i="13"/>
  <c r="L49" i="13"/>
  <c r="L52" i="13"/>
  <c r="L53" i="13"/>
  <c r="L45" i="13"/>
  <c r="L39" i="13"/>
  <c r="L40" i="13"/>
  <c r="L41" i="13"/>
  <c r="L42" i="13"/>
  <c r="L38" i="13"/>
  <c r="L35" i="13"/>
  <c r="L34" i="13"/>
  <c r="L31" i="13"/>
  <c r="L30" i="13"/>
  <c r="L18" i="13"/>
  <c r="B5" i="13"/>
  <c r="B6" i="13" s="1"/>
  <c r="C5" i="13" s="1"/>
  <c r="C6" i="13" s="1"/>
  <c r="D5" i="13" s="1"/>
  <c r="D6" i="13" s="1"/>
  <c r="E5" i="13" s="1"/>
  <c r="E6" i="13" s="1"/>
  <c r="F5" i="13" s="1"/>
  <c r="F6" i="13" s="1"/>
  <c r="G5" i="13" s="1"/>
  <c r="G6" i="13" s="1"/>
  <c r="H5" i="13" s="1"/>
  <c r="H6" i="13" s="1"/>
  <c r="I5" i="13" s="1"/>
  <c r="I6" i="13" s="1"/>
  <c r="J5" i="13" s="1"/>
  <c r="J6" i="13" s="1"/>
  <c r="K5" i="13" s="1"/>
  <c r="K6" i="13" s="1"/>
  <c r="E311" i="5"/>
  <c r="F311" i="5"/>
  <c r="G311" i="5"/>
  <c r="H311" i="5"/>
  <c r="I311" i="5"/>
  <c r="J311" i="5"/>
  <c r="K311" i="5"/>
  <c r="L311" i="5"/>
  <c r="G303" i="5"/>
  <c r="H303" i="5"/>
  <c r="I303" i="5"/>
  <c r="J303" i="5"/>
  <c r="K303" i="5"/>
  <c r="L303" i="5"/>
  <c r="H295" i="5"/>
  <c r="I295" i="5"/>
  <c r="J295" i="5"/>
  <c r="K295" i="5"/>
  <c r="L295" i="5"/>
  <c r="X66" i="12"/>
  <c r="G61" i="12"/>
  <c r="H61" i="12"/>
  <c r="I61" i="12"/>
  <c r="J61" i="12"/>
  <c r="K61" i="12"/>
  <c r="L46" i="12"/>
  <c r="L47" i="12"/>
  <c r="L48" i="12"/>
  <c r="L49" i="12"/>
  <c r="L52" i="12"/>
  <c r="L53" i="12"/>
  <c r="L45" i="12"/>
  <c r="G43" i="12"/>
  <c r="H43" i="12"/>
  <c r="I43" i="12"/>
  <c r="J43" i="12"/>
  <c r="K43" i="12"/>
  <c r="L39" i="12"/>
  <c r="L40" i="12"/>
  <c r="L41" i="12"/>
  <c r="L42" i="12"/>
  <c r="L38" i="12"/>
  <c r="L35" i="12"/>
  <c r="L34" i="12"/>
  <c r="G32" i="12"/>
  <c r="H32" i="12"/>
  <c r="I32" i="12"/>
  <c r="J32" i="12"/>
  <c r="K32" i="12"/>
  <c r="L31" i="12"/>
  <c r="L30" i="12"/>
  <c r="L18" i="12"/>
  <c r="B5" i="12"/>
  <c r="B6" i="12" s="1"/>
  <c r="C5" i="12" s="1"/>
  <c r="C6" i="12" s="1"/>
  <c r="D5" i="12" s="1"/>
  <c r="D6" i="12" s="1"/>
  <c r="E5" i="12" s="1"/>
  <c r="E6" i="12" s="1"/>
  <c r="F5" i="12" s="1"/>
  <c r="F6" i="12" s="1"/>
  <c r="G5" i="12" s="1"/>
  <c r="G6" i="12" s="1"/>
  <c r="H5" i="12" s="1"/>
  <c r="H6" i="12" s="1"/>
  <c r="I5" i="12" s="1"/>
  <c r="I6" i="12" s="1"/>
  <c r="J5" i="12" s="1"/>
  <c r="J6" i="12" s="1"/>
  <c r="K5" i="12" s="1"/>
  <c r="K6" i="12" s="1"/>
  <c r="I230" i="5"/>
  <c r="G222" i="5"/>
  <c r="H222" i="5"/>
  <c r="I222" i="5"/>
  <c r="J222" i="5"/>
  <c r="K222" i="5"/>
  <c r="L222" i="5"/>
  <c r="J214" i="5"/>
  <c r="K214" i="5"/>
  <c r="L214" i="5"/>
  <c r="T66" i="12"/>
  <c r="U66" i="12"/>
  <c r="V66" i="12"/>
  <c r="W66" i="12"/>
  <c r="B41" i="11"/>
  <c r="B59" i="11"/>
  <c r="G41" i="11"/>
  <c r="G59" i="11"/>
  <c r="H41" i="11"/>
  <c r="H59" i="11"/>
  <c r="I41" i="11"/>
  <c r="I59" i="11"/>
  <c r="J41" i="11"/>
  <c r="J59" i="11"/>
  <c r="K41" i="11"/>
  <c r="K59" i="11"/>
  <c r="C41" i="11"/>
  <c r="C59" i="11"/>
  <c r="D41" i="11"/>
  <c r="D59" i="11"/>
  <c r="E41" i="11"/>
  <c r="E59" i="11"/>
  <c r="F41" i="11"/>
  <c r="F59" i="11"/>
  <c r="B32" i="12"/>
  <c r="B43" i="12"/>
  <c r="B61" i="12"/>
  <c r="C61" i="12"/>
  <c r="D61" i="12"/>
  <c r="E61" i="12"/>
  <c r="F61" i="12"/>
  <c r="L61" i="12"/>
  <c r="C32" i="12"/>
  <c r="C43" i="12"/>
  <c r="D32" i="12"/>
  <c r="D43" i="12"/>
  <c r="E32" i="12"/>
  <c r="E43" i="12"/>
  <c r="F32" i="12"/>
  <c r="F43" i="12"/>
  <c r="L44" i="11"/>
  <c r="L45" i="11"/>
  <c r="L46" i="11"/>
  <c r="L47" i="11"/>
  <c r="L50" i="11"/>
  <c r="L51" i="11"/>
  <c r="L43" i="11"/>
  <c r="L37" i="11"/>
  <c r="L38" i="11"/>
  <c r="L39" i="11"/>
  <c r="L40" i="11"/>
  <c r="L36" i="11"/>
  <c r="L33" i="11"/>
  <c r="L32" i="11"/>
  <c r="L29" i="11"/>
  <c r="T64" i="11"/>
  <c r="U64" i="11"/>
  <c r="V64" i="11"/>
  <c r="W64" i="11"/>
  <c r="X64" i="11"/>
  <c r="H30" i="11"/>
  <c r="I30" i="11"/>
  <c r="J30" i="11"/>
  <c r="K30" i="11"/>
  <c r="B30" i="11"/>
  <c r="C30" i="11"/>
  <c r="D30" i="11"/>
  <c r="E30" i="11"/>
  <c r="F30" i="11"/>
  <c r="B5" i="11"/>
  <c r="B6" i="11" s="1"/>
  <c r="C5" i="11" s="1"/>
  <c r="C6" i="11" s="1"/>
  <c r="D5" i="11" s="1"/>
  <c r="D6" i="11" s="1"/>
  <c r="E5" i="11" s="1"/>
  <c r="E6" i="11" s="1"/>
  <c r="F5" i="11" s="1"/>
  <c r="F6" i="11" s="1"/>
  <c r="G5" i="11" s="1"/>
  <c r="G6" i="11" s="1"/>
  <c r="H5" i="11" s="1"/>
  <c r="H6" i="11" s="1"/>
  <c r="I5" i="11" s="1"/>
  <c r="I6" i="11" s="1"/>
  <c r="J5" i="11" s="1"/>
  <c r="J6" i="11" s="1"/>
  <c r="K5" i="11" s="1"/>
  <c r="K6" i="11" s="1"/>
  <c r="K149" i="5"/>
  <c r="G149" i="5"/>
  <c r="H149" i="5"/>
  <c r="I149" i="5"/>
  <c r="J149" i="5"/>
  <c r="L149" i="5"/>
  <c r="G141" i="5"/>
  <c r="H141" i="5"/>
  <c r="I141" i="5"/>
  <c r="J141" i="5"/>
  <c r="K141" i="5"/>
  <c r="L141" i="5"/>
  <c r="J133" i="5"/>
  <c r="K133" i="5"/>
  <c r="L133" i="5"/>
  <c r="U64" i="1"/>
  <c r="V64" i="1"/>
  <c r="W64" i="1"/>
  <c r="X64" i="1"/>
  <c r="L44" i="1"/>
  <c r="L45" i="1"/>
  <c r="L46" i="1"/>
  <c r="L50" i="1"/>
  <c r="L51" i="1"/>
  <c r="L43" i="1"/>
  <c r="L37" i="1"/>
  <c r="L38" i="1"/>
  <c r="L39" i="1"/>
  <c r="L40" i="1"/>
  <c r="L36" i="1"/>
  <c r="L33" i="1"/>
  <c r="L32" i="1"/>
  <c r="J68" i="5"/>
  <c r="K68" i="5"/>
  <c r="L68" i="5"/>
  <c r="J60" i="5"/>
  <c r="K60" i="5"/>
  <c r="L60" i="5"/>
  <c r="J52" i="5"/>
  <c r="K52" i="5"/>
  <c r="L52" i="5"/>
  <c r="G30" i="11"/>
  <c r="T115" i="16"/>
  <c r="T64" i="1"/>
  <c r="H230" i="5"/>
  <c r="H214" i="5"/>
  <c r="H133" i="5"/>
  <c r="H68" i="5"/>
  <c r="H60" i="5"/>
  <c r="H52" i="5"/>
  <c r="B34" i="4"/>
  <c r="B30" i="1"/>
  <c r="B41" i="1"/>
  <c r="I43" i="18"/>
  <c r="N43" i="18" s="1"/>
  <c r="I44" i="18"/>
  <c r="N44" i="18" s="1"/>
  <c r="I45" i="18"/>
  <c r="N45" i="18" s="1"/>
  <c r="I46" i="18"/>
  <c r="N46" i="18" s="1"/>
  <c r="I47" i="18"/>
  <c r="N47" i="18" s="1"/>
  <c r="I33" i="18"/>
  <c r="N33" i="18" s="1"/>
  <c r="I34" i="18"/>
  <c r="N34" i="18" s="1"/>
  <c r="I35" i="18"/>
  <c r="N35" i="18" s="1"/>
  <c r="I36" i="18"/>
  <c r="N36" i="18" s="1"/>
  <c r="I37" i="18"/>
  <c r="N37" i="18" s="1"/>
  <c r="I23" i="18"/>
  <c r="N23" i="18" s="1"/>
  <c r="I24" i="18"/>
  <c r="N24" i="18"/>
  <c r="I25" i="18"/>
  <c r="N25" i="18"/>
  <c r="I26" i="18"/>
  <c r="N26" i="18" s="1"/>
  <c r="I27" i="18"/>
  <c r="N27" i="18" s="1"/>
  <c r="I13" i="18"/>
  <c r="N13" i="18" s="1"/>
  <c r="I14" i="18"/>
  <c r="N14" i="18" s="1"/>
  <c r="I15" i="18"/>
  <c r="N15" i="18" s="1"/>
  <c r="I16" i="18"/>
  <c r="N16" i="18" s="1"/>
  <c r="I17" i="18"/>
  <c r="N17" i="18" s="1"/>
  <c r="I3" i="18"/>
  <c r="N3" i="18"/>
  <c r="I4" i="18"/>
  <c r="N4" i="18"/>
  <c r="I5" i="18"/>
  <c r="N5" i="18" s="1"/>
  <c r="I6" i="18"/>
  <c r="N6" i="18"/>
  <c r="I7" i="18"/>
  <c r="N7" i="18" s="1"/>
  <c r="C30" i="1"/>
  <c r="C41" i="1"/>
  <c r="D30" i="1"/>
  <c r="D41" i="1"/>
  <c r="E30" i="1"/>
  <c r="E41" i="1"/>
  <c r="F30" i="1"/>
  <c r="F41" i="1"/>
  <c r="R3" i="19"/>
  <c r="R4" i="19"/>
  <c r="R5" i="19"/>
  <c r="R6" i="19"/>
  <c r="R7" i="19"/>
  <c r="B20" i="4"/>
  <c r="B29" i="4"/>
  <c r="B38" i="4"/>
  <c r="B45" i="4"/>
  <c r="B54" i="4"/>
  <c r="B20" i="7"/>
  <c r="B29" i="7"/>
  <c r="B34" i="7"/>
  <c r="B38" i="7"/>
  <c r="B45" i="7"/>
  <c r="B54" i="7"/>
  <c r="B20" i="8"/>
  <c r="B29" i="8"/>
  <c r="B34" i="8"/>
  <c r="B38" i="8"/>
  <c r="B45" i="8"/>
  <c r="B54" i="8"/>
  <c r="B20" i="9"/>
  <c r="B29" i="9"/>
  <c r="B34" i="9"/>
  <c r="B38" i="9"/>
  <c r="B45" i="9"/>
  <c r="B54" i="9"/>
  <c r="B20" i="10"/>
  <c r="B29" i="10"/>
  <c r="B34" i="10"/>
  <c r="B38" i="10"/>
  <c r="B45" i="10"/>
  <c r="B54" i="10"/>
  <c r="F20" i="10"/>
  <c r="F29" i="10"/>
  <c r="F34" i="10"/>
  <c r="F38" i="10"/>
  <c r="F45" i="10"/>
  <c r="F54" i="10"/>
  <c r="F20" i="9"/>
  <c r="F29" i="9"/>
  <c r="F34" i="9"/>
  <c r="F38" i="9"/>
  <c r="F45" i="9"/>
  <c r="F54" i="9"/>
  <c r="F20" i="8"/>
  <c r="F29" i="8"/>
  <c r="F34" i="8"/>
  <c r="F38" i="8"/>
  <c r="F45" i="8"/>
  <c r="F54" i="8"/>
  <c r="F20" i="7"/>
  <c r="F29" i="7"/>
  <c r="F34" i="7"/>
  <c r="F38" i="7"/>
  <c r="F45" i="7"/>
  <c r="F54" i="7"/>
  <c r="E20" i="4"/>
  <c r="E29" i="4"/>
  <c r="E34" i="4"/>
  <c r="E38" i="4"/>
  <c r="E45" i="4"/>
  <c r="E54" i="4"/>
  <c r="D20" i="4"/>
  <c r="D29" i="4"/>
  <c r="D34" i="4"/>
  <c r="D38" i="4"/>
  <c r="D45" i="4"/>
  <c r="D54" i="4"/>
  <c r="C20" i="4"/>
  <c r="C29" i="4"/>
  <c r="C30" i="4"/>
  <c r="C34" i="4"/>
  <c r="C38" i="4"/>
  <c r="C45" i="4"/>
  <c r="C54" i="4"/>
  <c r="A447" i="5"/>
  <c r="A366" i="5"/>
  <c r="A285" i="5"/>
  <c r="A204" i="5"/>
  <c r="A123" i="5"/>
  <c r="A12" i="5"/>
  <c r="C9" i="5"/>
  <c r="B82" i="5"/>
  <c r="B163" i="5"/>
  <c r="B244" i="5"/>
  <c r="B325" i="5"/>
  <c r="B406" i="5"/>
  <c r="B487" i="5"/>
  <c r="B104" i="5"/>
  <c r="B185" i="5"/>
  <c r="B266" i="5"/>
  <c r="B347" i="5"/>
  <c r="B428" i="5"/>
  <c r="B509" i="5"/>
  <c r="C20" i="7"/>
  <c r="C29" i="7"/>
  <c r="C34" i="7"/>
  <c r="C38" i="7"/>
  <c r="C45" i="7"/>
  <c r="C54" i="7"/>
  <c r="C20" i="8"/>
  <c r="C29" i="8"/>
  <c r="C34" i="8"/>
  <c r="C38" i="8"/>
  <c r="C45" i="8"/>
  <c r="C54" i="8"/>
  <c r="C20" i="9"/>
  <c r="C29" i="9"/>
  <c r="C34" i="9"/>
  <c r="C38" i="9"/>
  <c r="C45" i="9"/>
  <c r="C54" i="9"/>
  <c r="C20" i="10"/>
  <c r="C29" i="10"/>
  <c r="C34" i="10"/>
  <c r="C38" i="10"/>
  <c r="C45" i="10"/>
  <c r="C54" i="10"/>
  <c r="D20" i="7"/>
  <c r="D29" i="7"/>
  <c r="D34" i="7"/>
  <c r="D38" i="7"/>
  <c r="D45" i="7"/>
  <c r="D54" i="7"/>
  <c r="D20" i="8"/>
  <c r="D29" i="8"/>
  <c r="D34" i="8"/>
  <c r="D38" i="8"/>
  <c r="D45" i="8"/>
  <c r="D54" i="8"/>
  <c r="D20" i="9"/>
  <c r="D29" i="9"/>
  <c r="D34" i="9"/>
  <c r="D38" i="9"/>
  <c r="D45" i="9"/>
  <c r="D54" i="9"/>
  <c r="D20" i="10"/>
  <c r="D29" i="10"/>
  <c r="D34" i="10"/>
  <c r="D38" i="10"/>
  <c r="D45" i="10"/>
  <c r="D54" i="10"/>
  <c r="E20" i="7"/>
  <c r="E29" i="7"/>
  <c r="E30" i="7"/>
  <c r="E34" i="7"/>
  <c r="E38" i="7"/>
  <c r="E45" i="7"/>
  <c r="E54" i="7"/>
  <c r="E20" i="8"/>
  <c r="E29" i="8"/>
  <c r="E30" i="8"/>
  <c r="E34" i="8"/>
  <c r="E38" i="8"/>
  <c r="E45" i="8"/>
  <c r="E54" i="8"/>
  <c r="E20" i="9"/>
  <c r="E29" i="9"/>
  <c r="E34" i="9"/>
  <c r="E38" i="9"/>
  <c r="E45" i="9"/>
  <c r="E54" i="9"/>
  <c r="E20" i="10"/>
  <c r="E29" i="10"/>
  <c r="E34" i="10"/>
  <c r="E38" i="10"/>
  <c r="E45" i="10"/>
  <c r="E54" i="10"/>
  <c r="F20" i="4"/>
  <c r="F29" i="4"/>
  <c r="F34" i="4"/>
  <c r="F38" i="4"/>
  <c r="F45" i="4"/>
  <c r="F54" i="4"/>
  <c r="L20" i="10"/>
  <c r="L29" i="10"/>
  <c r="L34" i="10"/>
  <c r="L38" i="10"/>
  <c r="L20" i="9"/>
  <c r="L29" i="9"/>
  <c r="L34" i="9"/>
  <c r="L38" i="9"/>
  <c r="L54" i="9"/>
  <c r="L20" i="8"/>
  <c r="L34" i="8"/>
  <c r="L38" i="8"/>
  <c r="L20" i="7"/>
  <c r="L34" i="7"/>
  <c r="L38" i="7"/>
  <c r="L45" i="7"/>
  <c r="L34" i="4"/>
  <c r="A5" i="15"/>
  <c r="A5" i="14"/>
  <c r="A5" i="13"/>
  <c r="A5" i="12"/>
  <c r="A5" i="11"/>
  <c r="A23" i="10"/>
  <c r="A22" i="10"/>
  <c r="A23" i="9"/>
  <c r="A22" i="9"/>
  <c r="A23" i="8"/>
  <c r="A22" i="8"/>
  <c r="A23" i="7"/>
  <c r="A22" i="7"/>
  <c r="A22" i="4"/>
  <c r="A284" i="5"/>
  <c r="N86" i="13"/>
  <c r="A203" i="5"/>
  <c r="N86" i="12" s="1"/>
  <c r="A446" i="5"/>
  <c r="N86" i="15" s="1"/>
  <c r="A365" i="5"/>
  <c r="N86" i="14" s="1"/>
  <c r="A122" i="5"/>
  <c r="N84" i="11" s="1"/>
  <c r="A41" i="5"/>
  <c r="N84" i="1" s="1"/>
  <c r="A42" i="5"/>
  <c r="N85" i="15" s="1"/>
  <c r="A443" i="5"/>
  <c r="N81" i="15" s="1"/>
  <c r="A362" i="5"/>
  <c r="A281" i="5"/>
  <c r="N78" i="13" s="1"/>
  <c r="A200" i="5"/>
  <c r="N81" i="12" s="1"/>
  <c r="A119" i="5"/>
  <c r="N79" i="11" s="1"/>
  <c r="A38" i="5"/>
  <c r="N79" i="1" s="1"/>
  <c r="AR12" i="5"/>
  <c r="A5" i="10" s="1"/>
  <c r="AR11" i="5"/>
  <c r="A5" i="9" s="1"/>
  <c r="AR10" i="5"/>
  <c r="A5" i="8" s="1"/>
  <c r="AR9" i="5"/>
  <c r="A5" i="7" s="1"/>
  <c r="AR8" i="5"/>
  <c r="A5" i="4" s="1"/>
  <c r="P115" i="16"/>
  <c r="Q115" i="16"/>
  <c r="R115" i="16"/>
  <c r="S115" i="16"/>
  <c r="O115" i="16"/>
  <c r="N106" i="16"/>
  <c r="N105" i="16"/>
  <c r="A68" i="16"/>
  <c r="A69" i="16"/>
  <c r="A70" i="16"/>
  <c r="A71" i="16"/>
  <c r="A67" i="16"/>
  <c r="A17" i="15"/>
  <c r="A26" i="15" s="1"/>
  <c r="A16" i="15"/>
  <c r="A15" i="15"/>
  <c r="A14" i="15"/>
  <c r="A25" i="15" s="1"/>
  <c r="A13" i="15"/>
  <c r="A24" i="15" s="1"/>
  <c r="A17" i="14"/>
  <c r="A26" i="14" s="1"/>
  <c r="A16" i="14"/>
  <c r="A15" i="14"/>
  <c r="A14" i="14"/>
  <c r="A25" i="14" s="1"/>
  <c r="A13" i="14"/>
  <c r="A24" i="14" s="1"/>
  <c r="A17" i="13"/>
  <c r="A26" i="13" s="1"/>
  <c r="A16" i="13"/>
  <c r="A15" i="13"/>
  <c r="A14" i="13"/>
  <c r="A25" i="13" s="1"/>
  <c r="A13" i="13"/>
  <c r="A24" i="13" s="1"/>
  <c r="A17" i="12"/>
  <c r="A26" i="12" s="1"/>
  <c r="A16" i="12"/>
  <c r="A15" i="12"/>
  <c r="A14" i="12"/>
  <c r="A25" i="12" s="1"/>
  <c r="A13" i="12"/>
  <c r="A24" i="12" s="1"/>
  <c r="A17" i="11"/>
  <c r="A25" i="11" s="1"/>
  <c r="A16" i="11"/>
  <c r="A15" i="11"/>
  <c r="A14" i="11"/>
  <c r="A24" i="11" s="1"/>
  <c r="A13" i="11"/>
  <c r="A23" i="11" s="1"/>
  <c r="A2" i="16"/>
  <c r="A1" i="16"/>
  <c r="A83" i="16"/>
  <c r="A72" i="16"/>
  <c r="A65" i="16"/>
  <c r="A61" i="16"/>
  <c r="A57" i="16"/>
  <c r="A33" i="16"/>
  <c r="A26" i="16"/>
  <c r="A40" i="5"/>
  <c r="N81" i="1" s="1"/>
  <c r="A39" i="5"/>
  <c r="N80" i="1" s="1"/>
  <c r="A121" i="5"/>
  <c r="N81" i="11" s="1"/>
  <c r="A120" i="5"/>
  <c r="N80" i="11" s="1"/>
  <c r="A202" i="5"/>
  <c r="N83" i="12" s="1"/>
  <c r="A201" i="5"/>
  <c r="N82" i="12" s="1"/>
  <c r="A283" i="5"/>
  <c r="N83" i="13" s="1"/>
  <c r="A282" i="5"/>
  <c r="N82" i="13" s="1"/>
  <c r="A364" i="5"/>
  <c r="N83" i="14" s="1"/>
  <c r="A363" i="5"/>
  <c r="N82" i="14" s="1"/>
  <c r="A445" i="5"/>
  <c r="N83" i="15" s="1"/>
  <c r="A444" i="5"/>
  <c r="N82" i="15" s="1"/>
  <c r="R471" i="5"/>
  <c r="R390" i="5"/>
  <c r="R309" i="5"/>
  <c r="R228" i="5"/>
  <c r="R147" i="5"/>
  <c r="R66" i="5"/>
  <c r="B433" i="5"/>
  <c r="A453" i="5" s="1"/>
  <c r="A8" i="15" s="1"/>
  <c r="A509" i="5"/>
  <c r="A507" i="5"/>
  <c r="A487" i="5"/>
  <c r="A485" i="5"/>
  <c r="A480" i="5"/>
  <c r="A478" i="5"/>
  <c r="D473" i="5"/>
  <c r="C473" i="5"/>
  <c r="B473" i="5"/>
  <c r="B472" i="5"/>
  <c r="B474" i="5"/>
  <c r="A472" i="5"/>
  <c r="A470" i="5"/>
  <c r="A469" i="5"/>
  <c r="A10" i="15" s="1"/>
  <c r="A25" i="16" s="1"/>
  <c r="A53" i="16" s="1"/>
  <c r="A468" i="5"/>
  <c r="D465" i="5"/>
  <c r="C465" i="5"/>
  <c r="B465" i="5"/>
  <c r="B464" i="5"/>
  <c r="B466" i="5" s="1"/>
  <c r="A464" i="5"/>
  <c r="A462" i="5"/>
  <c r="A461" i="5"/>
  <c r="A9" i="15" s="1"/>
  <c r="A24" i="16" s="1"/>
  <c r="A52" i="16" s="1"/>
  <c r="A460" i="5"/>
  <c r="D457" i="5"/>
  <c r="C457" i="5"/>
  <c r="B457" i="5"/>
  <c r="B456" i="5"/>
  <c r="B458" i="5" s="1"/>
  <c r="A456" i="5"/>
  <c r="A454" i="5"/>
  <c r="A452" i="5"/>
  <c r="B352" i="5"/>
  <c r="A372" i="5" s="1"/>
  <c r="A8" i="14" s="1"/>
  <c r="A428" i="5"/>
  <c r="A426" i="5"/>
  <c r="A406" i="5"/>
  <c r="A404" i="5"/>
  <c r="A399" i="5"/>
  <c r="A397" i="5"/>
  <c r="D392" i="5"/>
  <c r="C392" i="5"/>
  <c r="B392" i="5"/>
  <c r="B391" i="5"/>
  <c r="B393" i="5" s="1"/>
  <c r="A391" i="5"/>
  <c r="A389" i="5"/>
  <c r="A388" i="5"/>
  <c r="A10" i="14" s="1"/>
  <c r="A23" i="14" s="1"/>
  <c r="A387" i="5"/>
  <c r="D384" i="5"/>
  <c r="C384" i="5"/>
  <c r="B384" i="5"/>
  <c r="B383" i="5"/>
  <c r="B385" i="5" s="1"/>
  <c r="A383" i="5"/>
  <c r="A381" i="5"/>
  <c r="A380" i="5"/>
  <c r="A9" i="14" s="1"/>
  <c r="A379" i="5"/>
  <c r="F376" i="5"/>
  <c r="E376" i="5"/>
  <c r="D376" i="5"/>
  <c r="C376" i="5"/>
  <c r="B376" i="5"/>
  <c r="B375" i="5"/>
  <c r="B377" i="5" s="1"/>
  <c r="A375" i="5"/>
  <c r="A373" i="5"/>
  <c r="A371" i="5"/>
  <c r="B271" i="5"/>
  <c r="A291" i="5" s="1"/>
  <c r="A8" i="13" s="1"/>
  <c r="A17" i="16" s="1"/>
  <c r="A45" i="16" s="1"/>
  <c r="A306" i="5"/>
  <c r="A225" i="5"/>
  <c r="A63" i="5"/>
  <c r="A144" i="5"/>
  <c r="A347" i="5"/>
  <c r="A345" i="5"/>
  <c r="A325" i="5"/>
  <c r="A323" i="5"/>
  <c r="A318" i="5"/>
  <c r="A316" i="5"/>
  <c r="D311" i="5"/>
  <c r="C311" i="5"/>
  <c r="B311" i="5"/>
  <c r="B310" i="5"/>
  <c r="B312" i="5" s="1"/>
  <c r="A310" i="5"/>
  <c r="A308" i="5"/>
  <c r="A307" i="5"/>
  <c r="A10" i="13" s="1"/>
  <c r="F303" i="5"/>
  <c r="E303" i="5"/>
  <c r="D303" i="5"/>
  <c r="C303" i="5"/>
  <c r="B303" i="5"/>
  <c r="B302" i="5"/>
  <c r="B304" i="5" s="1"/>
  <c r="A302" i="5"/>
  <c r="A300" i="5"/>
  <c r="A299" i="5"/>
  <c r="A9" i="13" s="1"/>
  <c r="A18" i="16" s="1"/>
  <c r="A46" i="16" s="1"/>
  <c r="A298" i="5"/>
  <c r="G295" i="5"/>
  <c r="F295" i="5"/>
  <c r="E295" i="5"/>
  <c r="D295" i="5"/>
  <c r="C295" i="5"/>
  <c r="B295" i="5"/>
  <c r="B294" i="5"/>
  <c r="B296" i="5" s="1"/>
  <c r="A294" i="5"/>
  <c r="A292" i="5"/>
  <c r="A290" i="5"/>
  <c r="AR2" i="5"/>
  <c r="A14" i="5" s="1"/>
  <c r="A4" i="1" s="1"/>
  <c r="B28" i="5"/>
  <c r="A48" i="5" s="1"/>
  <c r="A8" i="1" s="1"/>
  <c r="A8" i="16" s="1"/>
  <c r="A36" i="16" s="1"/>
  <c r="B190" i="5"/>
  <c r="A210" i="5" s="1"/>
  <c r="A8" i="12" s="1"/>
  <c r="A14" i="16" s="1"/>
  <c r="A42" i="16" s="1"/>
  <c r="A266" i="5"/>
  <c r="A264" i="5"/>
  <c r="A244" i="5"/>
  <c r="A242" i="5"/>
  <c r="A237" i="5"/>
  <c r="A235" i="5"/>
  <c r="G230" i="5"/>
  <c r="F230" i="5"/>
  <c r="E230" i="5"/>
  <c r="D230" i="5"/>
  <c r="C230" i="5"/>
  <c r="B230" i="5"/>
  <c r="B229" i="5"/>
  <c r="B231" i="5" s="1"/>
  <c r="A229" i="5"/>
  <c r="A227" i="5"/>
  <c r="A226" i="5"/>
  <c r="A10" i="12" s="1"/>
  <c r="A23" i="12" s="1"/>
  <c r="F222" i="5"/>
  <c r="E222" i="5"/>
  <c r="D222" i="5"/>
  <c r="C222" i="5"/>
  <c r="B222" i="5"/>
  <c r="B221" i="5"/>
  <c r="B223" i="5" s="1"/>
  <c r="A221" i="5"/>
  <c r="A219" i="5"/>
  <c r="A218" i="5"/>
  <c r="A9" i="12" s="1"/>
  <c r="A15" i="16" s="1"/>
  <c r="A43" i="16" s="1"/>
  <c r="A217" i="5"/>
  <c r="I214" i="5"/>
  <c r="G214" i="5"/>
  <c r="F214" i="5"/>
  <c r="E214" i="5"/>
  <c r="D214" i="5"/>
  <c r="C214" i="5"/>
  <c r="B214" i="5"/>
  <c r="B213" i="5"/>
  <c r="B215" i="5"/>
  <c r="A213" i="5"/>
  <c r="A211" i="5"/>
  <c r="A209" i="5"/>
  <c r="A145" i="5"/>
  <c r="A10" i="11" s="1"/>
  <c r="A137" i="5"/>
  <c r="A9" i="11" s="1"/>
  <c r="B109" i="5"/>
  <c r="A129" i="5" s="1"/>
  <c r="A8" i="11" s="1"/>
  <c r="A11" i="16" s="1"/>
  <c r="A39" i="16" s="1"/>
  <c r="A185" i="5"/>
  <c r="A183" i="5"/>
  <c r="A163" i="5"/>
  <c r="A161" i="5"/>
  <c r="A156" i="5"/>
  <c r="A154" i="5"/>
  <c r="F149" i="5"/>
  <c r="E149" i="5"/>
  <c r="D149" i="5"/>
  <c r="C149" i="5"/>
  <c r="B149" i="5"/>
  <c r="B148" i="5"/>
  <c r="B150" i="5" s="1"/>
  <c r="A148" i="5"/>
  <c r="A146" i="5"/>
  <c r="F141" i="5"/>
  <c r="E141" i="5"/>
  <c r="D141" i="5"/>
  <c r="C141" i="5"/>
  <c r="B141" i="5"/>
  <c r="B140" i="5"/>
  <c r="B142" i="5" s="1"/>
  <c r="A140" i="5"/>
  <c r="A138" i="5"/>
  <c r="A136" i="5"/>
  <c r="I133" i="5"/>
  <c r="G133" i="5"/>
  <c r="F133" i="5"/>
  <c r="E133" i="5"/>
  <c r="D133" i="5"/>
  <c r="C133" i="5"/>
  <c r="B133" i="5"/>
  <c r="B132" i="5"/>
  <c r="B134" i="5" s="1"/>
  <c r="A132" i="5"/>
  <c r="A130" i="5"/>
  <c r="A128" i="5"/>
  <c r="AR7" i="5"/>
  <c r="A19" i="5" s="1"/>
  <c r="AR6" i="5"/>
  <c r="A18" i="5" s="1"/>
  <c r="AR5" i="5"/>
  <c r="A17" i="5" s="1"/>
  <c r="AR4" i="5"/>
  <c r="A16" i="5" s="1"/>
  <c r="AR3" i="5"/>
  <c r="A15" i="5" s="1"/>
  <c r="A54" i="15"/>
  <c r="A43" i="15"/>
  <c r="A36" i="15"/>
  <c r="L36" i="15"/>
  <c r="N88" i="15"/>
  <c r="A32" i="15"/>
  <c r="L32" i="15"/>
  <c r="A27" i="15"/>
  <c r="A19" i="15"/>
  <c r="S66" i="15"/>
  <c r="R66" i="15"/>
  <c r="Q66" i="15"/>
  <c r="P66" i="15"/>
  <c r="O66" i="15"/>
  <c r="A11" i="15"/>
  <c r="A2" i="15"/>
  <c r="A1" i="15"/>
  <c r="A54" i="14"/>
  <c r="A43" i="14"/>
  <c r="A36" i="14"/>
  <c r="N88" i="14"/>
  <c r="A32" i="14"/>
  <c r="A27" i="14"/>
  <c r="A19" i="14"/>
  <c r="S66" i="14"/>
  <c r="R66" i="14"/>
  <c r="Q66" i="14"/>
  <c r="P66" i="14"/>
  <c r="O66" i="14"/>
  <c r="A11" i="14"/>
  <c r="A2" i="14"/>
  <c r="A1" i="14"/>
  <c r="A54" i="13"/>
  <c r="A43" i="13"/>
  <c r="A36" i="13"/>
  <c r="N88" i="13"/>
  <c r="A32" i="13"/>
  <c r="A27" i="13"/>
  <c r="A19" i="13"/>
  <c r="S66" i="13"/>
  <c r="R66" i="13"/>
  <c r="Q66" i="13"/>
  <c r="P66" i="13"/>
  <c r="O66" i="13"/>
  <c r="A11" i="13"/>
  <c r="A2" i="13"/>
  <c r="A1" i="13"/>
  <c r="A54" i="12"/>
  <c r="A43" i="12"/>
  <c r="L43" i="12"/>
  <c r="A36" i="12"/>
  <c r="N88" i="12"/>
  <c r="A32" i="12"/>
  <c r="L32" i="12"/>
  <c r="A27" i="12"/>
  <c r="A19" i="12"/>
  <c r="S66" i="12"/>
  <c r="R66" i="12"/>
  <c r="Q66" i="12"/>
  <c r="P66" i="12"/>
  <c r="O66" i="12"/>
  <c r="A11" i="12"/>
  <c r="A2" i="12"/>
  <c r="A1" i="12"/>
  <c r="L36" i="14"/>
  <c r="L32" i="14"/>
  <c r="L43" i="14"/>
  <c r="L36" i="13"/>
  <c r="L43" i="13"/>
  <c r="L32" i="13"/>
  <c r="L36" i="12"/>
  <c r="A52" i="11"/>
  <c r="A41" i="11"/>
  <c r="L41" i="11"/>
  <c r="A34" i="11"/>
  <c r="L34" i="11"/>
  <c r="N86" i="11"/>
  <c r="A30" i="11"/>
  <c r="A26" i="11"/>
  <c r="A18" i="11"/>
  <c r="S64" i="11"/>
  <c r="R64" i="11"/>
  <c r="Q64" i="11"/>
  <c r="P64" i="11"/>
  <c r="O64" i="11"/>
  <c r="A11" i="11"/>
  <c r="A2" i="11"/>
  <c r="A1" i="11"/>
  <c r="L30" i="11"/>
  <c r="A20" i="10"/>
  <c r="A20" i="9"/>
  <c r="A20" i="8"/>
  <c r="A20" i="7"/>
  <c r="A20" i="4"/>
  <c r="A12" i="10"/>
  <c r="B30" i="9"/>
  <c r="A12" i="9"/>
  <c r="B30" i="8"/>
  <c r="A12" i="8"/>
  <c r="A12" i="7"/>
  <c r="A12" i="4"/>
  <c r="A18" i="1"/>
  <c r="A64" i="5"/>
  <c r="A10" i="1" s="1"/>
  <c r="A22" i="1" s="1"/>
  <c r="B59" i="5"/>
  <c r="B61" i="5" s="1"/>
  <c r="A17" i="1"/>
  <c r="A14" i="1"/>
  <c r="A24" i="1" s="1"/>
  <c r="A13" i="1"/>
  <c r="A23" i="1" s="1"/>
  <c r="A56" i="5"/>
  <c r="A9" i="1" s="1"/>
  <c r="A9" i="16" s="1"/>
  <c r="A37" i="16" s="1"/>
  <c r="A16" i="1"/>
  <c r="A31" i="16" s="1"/>
  <c r="A104" i="5"/>
  <c r="A15" i="1"/>
  <c r="A30" i="16" s="1"/>
  <c r="A11" i="1"/>
  <c r="N86" i="1"/>
  <c r="P64" i="1"/>
  <c r="Q64" i="1"/>
  <c r="R64" i="1"/>
  <c r="S64" i="1"/>
  <c r="O64" i="1"/>
  <c r="A47" i="5"/>
  <c r="B68" i="5"/>
  <c r="C68" i="5"/>
  <c r="D68" i="5"/>
  <c r="E68" i="5"/>
  <c r="F68" i="5"/>
  <c r="G68" i="5"/>
  <c r="I68" i="5"/>
  <c r="B67" i="5"/>
  <c r="B69" i="5" s="1"/>
  <c r="A80" i="5"/>
  <c r="A26" i="1"/>
  <c r="A102" i="5"/>
  <c r="A82" i="5"/>
  <c r="A75" i="5"/>
  <c r="A73" i="5"/>
  <c r="A67" i="5"/>
  <c r="A65" i="5"/>
  <c r="I60" i="5"/>
  <c r="G60" i="5"/>
  <c r="F60" i="5"/>
  <c r="E60" i="5"/>
  <c r="D60" i="5"/>
  <c r="C60" i="5"/>
  <c r="B60" i="5"/>
  <c r="A59" i="5"/>
  <c r="A57" i="5"/>
  <c r="A55" i="5"/>
  <c r="B51" i="5"/>
  <c r="B53" i="5" s="1"/>
  <c r="I52" i="5"/>
  <c r="G52" i="5"/>
  <c r="F52" i="5"/>
  <c r="E52" i="5"/>
  <c r="D52" i="5"/>
  <c r="C52" i="5"/>
  <c r="B52" i="5"/>
  <c r="A51" i="5"/>
  <c r="A49" i="5"/>
  <c r="A2" i="1"/>
  <c r="A2" i="8" s="1"/>
  <c r="A1" i="1"/>
  <c r="A5" i="1"/>
  <c r="A52" i="1"/>
  <c r="A41" i="1"/>
  <c r="A34" i="1"/>
  <c r="A30" i="1"/>
  <c r="L54" i="4"/>
  <c r="L29" i="1"/>
  <c r="P29" i="5"/>
  <c r="L30" i="1"/>
  <c r="L34" i="1"/>
  <c r="L61" i="16"/>
  <c r="L41" i="1"/>
  <c r="L54" i="7"/>
  <c r="L45" i="8"/>
  <c r="L54" i="10"/>
  <c r="L45" i="10"/>
  <c r="L65" i="16"/>
  <c r="L38" i="4"/>
  <c r="R8" i="19"/>
  <c r="L43" i="15"/>
  <c r="L45" i="4"/>
  <c r="L54" i="8"/>
  <c r="L45" i="9"/>
  <c r="L72" i="16"/>
  <c r="B55" i="9"/>
  <c r="B57" i="9"/>
  <c r="B63" i="9"/>
  <c r="D30" i="9"/>
  <c r="D30" i="10"/>
  <c r="C55" i="7"/>
  <c r="C57" i="7"/>
  <c r="B55" i="7"/>
  <c r="B57" i="7"/>
  <c r="B63" i="7"/>
  <c r="K97" i="16"/>
  <c r="D55" i="10"/>
  <c r="D57" i="10"/>
  <c r="D55" i="8"/>
  <c r="D57" i="8"/>
  <c r="D30" i="7"/>
  <c r="D55" i="4"/>
  <c r="D57" i="4"/>
  <c r="C30" i="9"/>
  <c r="F30" i="10"/>
  <c r="D30" i="8"/>
  <c r="C55" i="8"/>
  <c r="C57" i="8"/>
  <c r="B30" i="10"/>
  <c r="E55" i="10"/>
  <c r="E57" i="10"/>
  <c r="C55" i="10"/>
  <c r="C57" i="10"/>
  <c r="F55" i="9"/>
  <c r="F57" i="9"/>
  <c r="J63" i="9"/>
  <c r="J64" i="9"/>
  <c r="J66" i="9"/>
  <c r="E30" i="9"/>
  <c r="B55" i="10"/>
  <c r="B57" i="10"/>
  <c r="B63" i="10"/>
  <c r="K66" i="4"/>
  <c r="C55" i="9"/>
  <c r="C57" i="9"/>
  <c r="C55" i="4"/>
  <c r="C57" i="4"/>
  <c r="F30" i="4"/>
  <c r="E55" i="4"/>
  <c r="E57" i="4"/>
  <c r="F55" i="7"/>
  <c r="F57" i="7"/>
  <c r="J63" i="7"/>
  <c r="F30" i="8"/>
  <c r="F55" i="10"/>
  <c r="F57" i="10"/>
  <c r="J63" i="10"/>
  <c r="B55" i="4"/>
  <c r="B57" i="4"/>
  <c r="C30" i="7"/>
  <c r="E30" i="10"/>
  <c r="F30" i="9"/>
  <c r="E55" i="8"/>
  <c r="E57" i="8"/>
  <c r="C30" i="8"/>
  <c r="C30" i="10"/>
  <c r="D55" i="9"/>
  <c r="D57" i="9"/>
  <c r="F30" i="7"/>
  <c r="B55" i="8"/>
  <c r="B57" i="8"/>
  <c r="E55" i="7"/>
  <c r="E57" i="7"/>
  <c r="F55" i="8"/>
  <c r="F57" i="8"/>
  <c r="J63" i="8"/>
  <c r="E55" i="9"/>
  <c r="E57" i="9"/>
  <c r="D55" i="7"/>
  <c r="D57" i="7"/>
  <c r="L29" i="7"/>
  <c r="L55" i="7"/>
  <c r="L29" i="8"/>
  <c r="L30" i="8"/>
  <c r="F55" i="4"/>
  <c r="F57" i="4"/>
  <c r="B30" i="4"/>
  <c r="L20" i="4"/>
  <c r="D30" i="4"/>
  <c r="E30" i="4"/>
  <c r="L29" i="4"/>
  <c r="L30" i="10"/>
  <c r="L55" i="10"/>
  <c r="L55" i="9"/>
  <c r="L30" i="9"/>
  <c r="B30" i="7"/>
  <c r="L59" i="11"/>
  <c r="E47" i="1"/>
  <c r="E78" i="16"/>
  <c r="D47" i="1"/>
  <c r="D78" i="16"/>
  <c r="C47" i="1"/>
  <c r="C78" i="16"/>
  <c r="J63" i="4"/>
  <c r="J64" i="4"/>
  <c r="F47" i="1"/>
  <c r="F78" i="16"/>
  <c r="C63" i="7"/>
  <c r="C64" i="7"/>
  <c r="H63" i="7"/>
  <c r="H64" i="7"/>
  <c r="H66" i="7"/>
  <c r="I63" i="9"/>
  <c r="I64" i="9"/>
  <c r="I66" i="9"/>
  <c r="G63" i="8"/>
  <c r="G64" i="8"/>
  <c r="G66" i="8"/>
  <c r="C63" i="10"/>
  <c r="C64" i="10"/>
  <c r="C66" i="10"/>
  <c r="E63" i="10"/>
  <c r="E64" i="10"/>
  <c r="E66" i="10"/>
  <c r="H63" i="9"/>
  <c r="H64" i="9"/>
  <c r="H66" i="9"/>
  <c r="C63" i="9"/>
  <c r="C64" i="9"/>
  <c r="F63" i="10"/>
  <c r="F64" i="10"/>
  <c r="I63" i="4"/>
  <c r="I64" i="4"/>
  <c r="I66" i="4"/>
  <c r="D63" i="10"/>
  <c r="D64" i="10"/>
  <c r="D66" i="10"/>
  <c r="J64" i="7"/>
  <c r="J66" i="7"/>
  <c r="I63" i="8"/>
  <c r="I64" i="8"/>
  <c r="I66" i="8"/>
  <c r="J64" i="8"/>
  <c r="J66" i="8"/>
  <c r="I63" i="7"/>
  <c r="I64" i="7"/>
  <c r="H63" i="10"/>
  <c r="H64" i="10"/>
  <c r="G63" i="10"/>
  <c r="G64" i="10"/>
  <c r="G66" i="10"/>
  <c r="L57" i="10"/>
  <c r="J64" i="10"/>
  <c r="J66" i="10"/>
  <c r="I63" i="10"/>
  <c r="G63" i="7"/>
  <c r="L57" i="9"/>
  <c r="G63" i="4"/>
  <c r="G64" i="4"/>
  <c r="H63" i="8"/>
  <c r="L57" i="8"/>
  <c r="G63" i="9"/>
  <c r="G64" i="9"/>
  <c r="H63" i="4"/>
  <c r="D63" i="9"/>
  <c r="D64" i="9"/>
  <c r="L57" i="7"/>
  <c r="B64" i="10"/>
  <c r="B66" i="10"/>
  <c r="D63" i="8"/>
  <c r="D64" i="8"/>
  <c r="D63" i="4"/>
  <c r="D64" i="4"/>
  <c r="L57" i="4"/>
  <c r="B64" i="7"/>
  <c r="B66" i="7"/>
  <c r="C63" i="8"/>
  <c r="C64" i="8"/>
  <c r="C66" i="8"/>
  <c r="B63" i="8"/>
  <c r="C63" i="4"/>
  <c r="C64" i="4"/>
  <c r="B64" i="9"/>
  <c r="B66" i="9"/>
  <c r="E63" i="8"/>
  <c r="E64" i="8"/>
  <c r="B47" i="1"/>
  <c r="B78" i="16"/>
  <c r="L55" i="8"/>
  <c r="L30" i="7"/>
  <c r="L30" i="4"/>
  <c r="E63" i="4"/>
  <c r="E64" i="4"/>
  <c r="E66" i="4"/>
  <c r="F63" i="4"/>
  <c r="F64" i="4"/>
  <c r="F66" i="4"/>
  <c r="B63" i="4"/>
  <c r="F63" i="8"/>
  <c r="F63" i="9"/>
  <c r="F64" i="9"/>
  <c r="F63" i="7"/>
  <c r="F64" i="7"/>
  <c r="F66" i="7"/>
  <c r="E63" i="9"/>
  <c r="E64" i="9"/>
  <c r="E63" i="7"/>
  <c r="E64" i="7"/>
  <c r="D63" i="7"/>
  <c r="D64" i="7"/>
  <c r="L55" i="4"/>
  <c r="D66" i="8"/>
  <c r="F66" i="10"/>
  <c r="D66" i="9"/>
  <c r="L63" i="10"/>
  <c r="H66" i="10"/>
  <c r="B64" i="8"/>
  <c r="B66" i="8"/>
  <c r="I66" i="7"/>
  <c r="J59" i="1"/>
  <c r="I64" i="10"/>
  <c r="I59" i="1"/>
  <c r="J66" i="4"/>
  <c r="H64" i="4"/>
  <c r="G64" i="7"/>
  <c r="G59" i="1"/>
  <c r="G66" i="9"/>
  <c r="H64" i="8"/>
  <c r="H66" i="8"/>
  <c r="L63" i="7"/>
  <c r="G66" i="4"/>
  <c r="B64" i="4"/>
  <c r="L63" i="4"/>
  <c r="L63" i="9"/>
  <c r="L64" i="9"/>
  <c r="L63" i="8"/>
  <c r="F66" i="9"/>
  <c r="E66" i="9"/>
  <c r="F64" i="8"/>
  <c r="F66" i="8"/>
  <c r="E66" i="7"/>
  <c r="D66" i="7"/>
  <c r="D59" i="1"/>
  <c r="D97" i="16"/>
  <c r="E59" i="1"/>
  <c r="E97" i="16"/>
  <c r="C59" i="1"/>
  <c r="C97" i="16"/>
  <c r="D66" i="4"/>
  <c r="L78" i="16"/>
  <c r="C66" i="7"/>
  <c r="E66" i="8"/>
  <c r="C66" i="9"/>
  <c r="L47" i="1"/>
  <c r="C66" i="4"/>
  <c r="L64" i="7"/>
  <c r="I66" i="10"/>
  <c r="L66" i="10"/>
  <c r="B59" i="1"/>
  <c r="B97" i="16"/>
  <c r="L64" i="10"/>
  <c r="J97" i="16"/>
  <c r="L66" i="8"/>
  <c r="G66" i="7"/>
  <c r="L66" i="7"/>
  <c r="H59" i="1"/>
  <c r="H66" i="4"/>
  <c r="I97" i="16"/>
  <c r="L66" i="9"/>
  <c r="B66" i="4"/>
  <c r="L64" i="4"/>
  <c r="F59" i="1"/>
  <c r="F97" i="16"/>
  <c r="L64" i="8"/>
  <c r="G97" i="16"/>
  <c r="H97" i="16"/>
  <c r="L97" i="16"/>
  <c r="L66" i="4"/>
  <c r="L59" i="1"/>
  <c r="C172" i="5" l="1"/>
  <c r="D172" i="5" s="1"/>
  <c r="B175" i="5"/>
  <c r="B179" i="5" s="1"/>
  <c r="B16" i="11" s="1"/>
  <c r="H85" i="16"/>
  <c r="P65" i="11"/>
  <c r="C403" i="5"/>
  <c r="C404" i="5" s="1"/>
  <c r="C56" i="5"/>
  <c r="C57" i="5" s="1"/>
  <c r="C61" i="5" s="1"/>
  <c r="X65" i="1"/>
  <c r="C477" i="5"/>
  <c r="C478" i="5" s="1"/>
  <c r="C263" i="5"/>
  <c r="C264" i="5" s="1"/>
  <c r="C154" i="5"/>
  <c r="G88" i="16"/>
  <c r="P108" i="16"/>
  <c r="U67" i="12"/>
  <c r="C72" i="5"/>
  <c r="C73" i="5" s="1"/>
  <c r="W67" i="13"/>
  <c r="I85" i="16"/>
  <c r="S108" i="16"/>
  <c r="O108" i="16"/>
  <c r="J85" i="16"/>
  <c r="D88" i="16"/>
  <c r="K85" i="16"/>
  <c r="J88" i="16"/>
  <c r="F85" i="16"/>
  <c r="D86" i="16"/>
  <c r="AI4" i="5"/>
  <c r="S80" i="13" s="1"/>
  <c r="F86" i="16"/>
  <c r="Q65" i="11"/>
  <c r="Y254" i="5"/>
  <c r="H86" i="16"/>
  <c r="R67" i="15"/>
  <c r="Z92" i="5"/>
  <c r="B86" i="16"/>
  <c r="X92" i="5"/>
  <c r="N85" i="14"/>
  <c r="C101" i="5"/>
  <c r="C102" i="5" s="1"/>
  <c r="N83" i="11"/>
  <c r="K86" i="16"/>
  <c r="S67" i="12"/>
  <c r="X67" i="14"/>
  <c r="C182" i="5"/>
  <c r="C183" i="5" s="1"/>
  <c r="N85" i="13"/>
  <c r="B88" i="16"/>
  <c r="C388" i="5"/>
  <c r="C389" i="5" s="1"/>
  <c r="C393" i="5" s="1"/>
  <c r="C506" i="5"/>
  <c r="C507" i="5" s="1"/>
  <c r="E85" i="16"/>
  <c r="C453" i="5"/>
  <c r="C454" i="5" s="1"/>
  <c r="E86" i="16"/>
  <c r="F88" i="16"/>
  <c r="C79" i="5"/>
  <c r="C80" i="5" s="1"/>
  <c r="G86" i="16"/>
  <c r="C86" i="16"/>
  <c r="C466" i="5"/>
  <c r="T67" i="14"/>
  <c r="R67" i="12"/>
  <c r="U65" i="1"/>
  <c r="O67" i="12"/>
  <c r="I199" i="5"/>
  <c r="W67" i="14"/>
  <c r="B85" i="16"/>
  <c r="S65" i="11"/>
  <c r="T75" i="5"/>
  <c r="T156" i="5" s="1"/>
  <c r="T237" i="5" s="1"/>
  <c r="T318" i="5" s="1"/>
  <c r="T399" i="5" s="1"/>
  <c r="T480" i="5" s="1"/>
  <c r="Q65" i="1"/>
  <c r="P67" i="14"/>
  <c r="R487" i="5"/>
  <c r="A493" i="5" s="1"/>
  <c r="R163" i="5"/>
  <c r="A169" i="5" s="1"/>
  <c r="R323" i="5"/>
  <c r="A329" i="5" s="1"/>
  <c r="V67" i="12"/>
  <c r="W65" i="1"/>
  <c r="AB93" i="5"/>
  <c r="R103" i="5"/>
  <c r="R486" i="5"/>
  <c r="A492" i="5" s="1"/>
  <c r="R161" i="5"/>
  <c r="A167" i="5" s="1"/>
  <c r="R65" i="11"/>
  <c r="R102" i="5"/>
  <c r="R183" i="5" s="1"/>
  <c r="R97" i="5"/>
  <c r="R502" i="5" s="1"/>
  <c r="C322" i="5"/>
  <c r="C323" i="5" s="1"/>
  <c r="C137" i="5"/>
  <c r="C138" i="5" s="1"/>
  <c r="S65" i="1"/>
  <c r="Q67" i="12"/>
  <c r="R96" i="5"/>
  <c r="R339" i="5" s="1"/>
  <c r="R325" i="5"/>
  <c r="A331" i="5" s="1"/>
  <c r="R82" i="5"/>
  <c r="A88" i="5" s="1"/>
  <c r="W67" i="15"/>
  <c r="U94" i="5"/>
  <c r="U104" i="5" s="1"/>
  <c r="R406" i="5"/>
  <c r="A412" i="5" s="1"/>
  <c r="S231" i="5"/>
  <c r="T231" i="5" s="1"/>
  <c r="T232" i="5" s="1"/>
  <c r="R405" i="5"/>
  <c r="A411" i="5" s="1"/>
  <c r="S69" i="5"/>
  <c r="T69" i="5" s="1"/>
  <c r="S150" i="5"/>
  <c r="T150" i="5" s="1"/>
  <c r="A5" i="16"/>
  <c r="R404" i="5"/>
  <c r="A410" i="5" s="1"/>
  <c r="R80" i="5"/>
  <c r="A86" i="5" s="1"/>
  <c r="C484" i="5"/>
  <c r="C485" i="5" s="1"/>
  <c r="X67" i="13"/>
  <c r="S67" i="5"/>
  <c r="AA499" i="5"/>
  <c r="R81" i="5"/>
  <c r="A87" i="5" s="1"/>
  <c r="R242" i="5"/>
  <c r="A248" i="5" s="1"/>
  <c r="S67" i="13"/>
  <c r="N76" i="11"/>
  <c r="J86" i="16"/>
  <c r="C160" i="5"/>
  <c r="C161" i="5" s="1"/>
  <c r="C48" i="5"/>
  <c r="C49" i="5" s="1"/>
  <c r="C53" i="5" s="1"/>
  <c r="Q67" i="14"/>
  <c r="P67" i="15"/>
  <c r="V256" i="5"/>
  <c r="AD75" i="5"/>
  <c r="AD156" i="5" s="1"/>
  <c r="AD237" i="5" s="1"/>
  <c r="AD318" i="5" s="1"/>
  <c r="AD399" i="5" s="1"/>
  <c r="AD480" i="5" s="1"/>
  <c r="S393" i="5"/>
  <c r="T393" i="5" s="1"/>
  <c r="T76" i="5"/>
  <c r="T157" i="5" s="1"/>
  <c r="T238" i="5" s="1"/>
  <c r="T319" i="5" s="1"/>
  <c r="T400" i="5" s="1"/>
  <c r="T481" i="5" s="1"/>
  <c r="R244" i="5"/>
  <c r="A250" i="5" s="1"/>
  <c r="Y337" i="5"/>
  <c r="C226" i="5"/>
  <c r="C227" i="5" s="1"/>
  <c r="O65" i="1"/>
  <c r="V255" i="5"/>
  <c r="Q67" i="13"/>
  <c r="U255" i="5"/>
  <c r="O10" i="5"/>
  <c r="B12" i="5"/>
  <c r="V75" i="5"/>
  <c r="V156" i="5" s="1"/>
  <c r="V237" i="5" s="1"/>
  <c r="V318" i="5" s="1"/>
  <c r="V399" i="5" s="1"/>
  <c r="V480" i="5" s="1"/>
  <c r="AA254" i="5"/>
  <c r="AD76" i="5"/>
  <c r="AD157" i="5" s="1"/>
  <c r="AD238" i="5" s="1"/>
  <c r="AD319" i="5" s="1"/>
  <c r="AD400" i="5" s="1"/>
  <c r="AD481" i="5" s="1"/>
  <c r="W77" i="5"/>
  <c r="W158" i="5" s="1"/>
  <c r="W239" i="5" s="1"/>
  <c r="W320" i="5" s="1"/>
  <c r="W401" i="5" s="1"/>
  <c r="W482" i="5" s="1"/>
  <c r="W337" i="5"/>
  <c r="R428" i="5"/>
  <c r="AE4" i="5"/>
  <c r="O80" i="13" s="1"/>
  <c r="L280" i="5"/>
  <c r="U497" i="5"/>
  <c r="S416" i="5"/>
  <c r="U173" i="5"/>
  <c r="U77" i="5"/>
  <c r="U158" i="5" s="1"/>
  <c r="U239" i="5" s="1"/>
  <c r="U320" i="5" s="1"/>
  <c r="U401" i="5" s="1"/>
  <c r="U482" i="5" s="1"/>
  <c r="U76" i="5"/>
  <c r="U157" i="5" s="1"/>
  <c r="U238" i="5" s="1"/>
  <c r="U319" i="5" s="1"/>
  <c r="U400" i="5" s="1"/>
  <c r="U481" i="5" s="1"/>
  <c r="Z174" i="5"/>
  <c r="W499" i="5"/>
  <c r="AA337" i="5"/>
  <c r="S92" i="5"/>
  <c r="T94" i="5"/>
  <c r="X75" i="5"/>
  <c r="X156" i="5" s="1"/>
  <c r="X237" i="5" s="1"/>
  <c r="X318" i="5" s="1"/>
  <c r="X399" i="5" s="1"/>
  <c r="X480" i="5" s="1"/>
  <c r="Z94" i="5"/>
  <c r="AB256" i="5"/>
  <c r="W93" i="5"/>
  <c r="AK4" i="5"/>
  <c r="U78" i="1" s="1"/>
  <c r="M280" i="5"/>
  <c r="W497" i="5"/>
  <c r="U337" i="5"/>
  <c r="S336" i="5"/>
  <c r="W173" i="5"/>
  <c r="Z93" i="5"/>
  <c r="T497" i="5"/>
  <c r="AB255" i="5"/>
  <c r="X94" i="5"/>
  <c r="U175" i="5"/>
  <c r="Z337" i="5"/>
  <c r="Z416" i="5"/>
  <c r="AB173" i="5"/>
  <c r="Y498" i="5"/>
  <c r="L37" i="5"/>
  <c r="L118" i="5"/>
  <c r="S497" i="5"/>
  <c r="V417" i="5"/>
  <c r="W255" i="5"/>
  <c r="AA76" i="5"/>
  <c r="AA157" i="5" s="1"/>
  <c r="AA238" i="5" s="1"/>
  <c r="AA319" i="5" s="1"/>
  <c r="AA400" i="5" s="1"/>
  <c r="AA481" i="5" s="1"/>
  <c r="Y416" i="5"/>
  <c r="AC75" i="5"/>
  <c r="AC156" i="5" s="1"/>
  <c r="AC237" i="5" s="1"/>
  <c r="AC318" i="5" s="1"/>
  <c r="AC399" i="5" s="1"/>
  <c r="AC480" i="5" s="1"/>
  <c r="G37" i="5"/>
  <c r="Z499" i="5"/>
  <c r="AB75" i="5"/>
  <c r="AB156" i="5" s="1"/>
  <c r="AB237" i="5" s="1"/>
  <c r="AB318" i="5" s="1"/>
  <c r="AB399" i="5" s="1"/>
  <c r="AB480" i="5" s="1"/>
  <c r="AB254" i="5"/>
  <c r="Y94" i="5"/>
  <c r="M37" i="5"/>
  <c r="S175" i="5"/>
  <c r="S499" i="5"/>
  <c r="T418" i="5"/>
  <c r="X255" i="5"/>
  <c r="AA256" i="5"/>
  <c r="V92" i="5"/>
  <c r="K280" i="5"/>
  <c r="X175" i="5"/>
  <c r="U336" i="5"/>
  <c r="S417" i="5"/>
  <c r="S254" i="5"/>
  <c r="V77" i="5"/>
  <c r="V158" i="5" s="1"/>
  <c r="V239" i="5" s="1"/>
  <c r="V320" i="5" s="1"/>
  <c r="V401" i="5" s="1"/>
  <c r="V482" i="5" s="1"/>
  <c r="X76" i="5"/>
  <c r="X157" i="5" s="1"/>
  <c r="X238" i="5" s="1"/>
  <c r="X319" i="5" s="1"/>
  <c r="X400" i="5" s="1"/>
  <c r="X481" i="5" s="1"/>
  <c r="Y75" i="5"/>
  <c r="Y156" i="5" s="1"/>
  <c r="Y237" i="5" s="1"/>
  <c r="Y318" i="5" s="1"/>
  <c r="Y399" i="5" s="1"/>
  <c r="Y480" i="5" s="1"/>
  <c r="Z336" i="5"/>
  <c r="S498" i="5"/>
  <c r="Y336" i="5"/>
  <c r="V254" i="5"/>
  <c r="Y418" i="5"/>
  <c r="Z75" i="5"/>
  <c r="Z156" i="5" s="1"/>
  <c r="Z237" i="5" s="1"/>
  <c r="Z318" i="5" s="1"/>
  <c r="Z399" i="5" s="1"/>
  <c r="Z480" i="5" s="1"/>
  <c r="K118" i="5"/>
  <c r="U416" i="5"/>
  <c r="X173" i="5"/>
  <c r="S77" i="5"/>
  <c r="S158" i="5" s="1"/>
  <c r="S239" i="5" s="1"/>
  <c r="S320" i="5" s="1"/>
  <c r="S401" i="5" s="1"/>
  <c r="S482" i="5" s="1"/>
  <c r="AB335" i="5"/>
  <c r="K442" i="5"/>
  <c r="V335" i="5"/>
  <c r="V418" i="5"/>
  <c r="AB337" i="5"/>
  <c r="H37" i="5"/>
  <c r="H280" i="5" s="1"/>
  <c r="V175" i="5"/>
  <c r="V416" i="5"/>
  <c r="V174" i="5"/>
  <c r="W75" i="5"/>
  <c r="W156" i="5" s="1"/>
  <c r="W237" i="5" s="1"/>
  <c r="W318" i="5" s="1"/>
  <c r="W399" i="5" s="1"/>
  <c r="W480" i="5" s="1"/>
  <c r="AA255" i="5"/>
  <c r="AG4" i="5"/>
  <c r="U78" i="5" s="1"/>
  <c r="U159" i="5" s="1"/>
  <c r="U240" i="5" s="1"/>
  <c r="U321" i="5" s="1"/>
  <c r="U402" i="5" s="1"/>
  <c r="U483" i="5" s="1"/>
  <c r="T416" i="5"/>
  <c r="X256" i="5"/>
  <c r="AB418" i="5"/>
  <c r="AN4" i="5"/>
  <c r="X80" i="14" s="1"/>
  <c r="I442" i="5"/>
  <c r="W175" i="5"/>
  <c r="X416" i="5"/>
  <c r="X174" i="5"/>
  <c r="AC76" i="5"/>
  <c r="AC157" i="5" s="1"/>
  <c r="AC238" i="5" s="1"/>
  <c r="AC319" i="5" s="1"/>
  <c r="AC400" i="5" s="1"/>
  <c r="AC481" i="5" s="1"/>
  <c r="Z76" i="5"/>
  <c r="Z157" i="5" s="1"/>
  <c r="Z238" i="5" s="1"/>
  <c r="Z319" i="5" s="1"/>
  <c r="Z400" i="5" s="1"/>
  <c r="Z481" i="5" s="1"/>
  <c r="U92" i="5"/>
  <c r="S255" i="5"/>
  <c r="Z173" i="5"/>
  <c r="AB499" i="5"/>
  <c r="AO4" i="5"/>
  <c r="Y80" i="15" s="1"/>
  <c r="J442" i="5"/>
  <c r="X497" i="5"/>
  <c r="U418" i="5"/>
  <c r="L361" i="5"/>
  <c r="AB77" i="5"/>
  <c r="AB158" i="5" s="1"/>
  <c r="AB239" i="5" s="1"/>
  <c r="AB320" i="5" s="1"/>
  <c r="AB401" i="5" s="1"/>
  <c r="AB482" i="5" s="1"/>
  <c r="AP4" i="5"/>
  <c r="Y255" i="5"/>
  <c r="Y173" i="5"/>
  <c r="I37" i="5"/>
  <c r="T498" i="5"/>
  <c r="W418" i="5"/>
  <c r="T173" i="5"/>
  <c r="Y76" i="5"/>
  <c r="Y157" i="5" s="1"/>
  <c r="Y238" i="5" s="1"/>
  <c r="Y319" i="5" s="1"/>
  <c r="Y400" i="5" s="1"/>
  <c r="Y481" i="5" s="1"/>
  <c r="U75" i="5"/>
  <c r="U156" i="5" s="1"/>
  <c r="U237" i="5" s="1"/>
  <c r="U318" i="5" s="1"/>
  <c r="U399" i="5" s="1"/>
  <c r="U480" i="5" s="1"/>
  <c r="L442" i="5"/>
  <c r="S94" i="5"/>
  <c r="S104" i="5" s="1"/>
  <c r="AA175" i="5"/>
  <c r="Y497" i="5"/>
  <c r="J37" i="5"/>
  <c r="U498" i="5"/>
  <c r="S335" i="5"/>
  <c r="AA77" i="5"/>
  <c r="AA158" i="5" s="1"/>
  <c r="AA239" i="5" s="1"/>
  <c r="AA320" i="5" s="1"/>
  <c r="AA401" i="5" s="1"/>
  <c r="AA482" i="5" s="1"/>
  <c r="AH4" i="5"/>
  <c r="W92" i="5"/>
  <c r="AB174" i="5"/>
  <c r="Z256" i="5"/>
  <c r="AA93" i="5"/>
  <c r="Y175" i="5"/>
  <c r="V499" i="5"/>
  <c r="S337" i="5"/>
  <c r="W254" i="5"/>
  <c r="AB497" i="5"/>
  <c r="K361" i="5"/>
  <c r="W498" i="5"/>
  <c r="Z77" i="5"/>
  <c r="Z158" i="5" s="1"/>
  <c r="Z239" i="5" s="1"/>
  <c r="Z320" i="5" s="1"/>
  <c r="Z401" i="5" s="1"/>
  <c r="Z482" i="5" s="1"/>
  <c r="AA416" i="5"/>
  <c r="AA418" i="5"/>
  <c r="R65" i="1"/>
  <c r="U335" i="5"/>
  <c r="X417" i="5"/>
  <c r="AA75" i="5"/>
  <c r="AA156" i="5" s="1"/>
  <c r="AA237" i="5" s="1"/>
  <c r="AA318" i="5" s="1"/>
  <c r="AA399" i="5" s="1"/>
  <c r="AA480" i="5" s="1"/>
  <c r="X499" i="5"/>
  <c r="U67" i="15"/>
  <c r="X65" i="11"/>
  <c r="J118" i="5"/>
  <c r="AE5" i="5"/>
  <c r="S76" i="5"/>
  <c r="S157" i="5" s="1"/>
  <c r="S238" i="5" s="1"/>
  <c r="S319" i="5" s="1"/>
  <c r="S400" i="5" s="1"/>
  <c r="S481" i="5" s="1"/>
  <c r="I118" i="5"/>
  <c r="O87" i="1"/>
  <c r="O89" i="15"/>
  <c r="AJ5" i="5"/>
  <c r="T77" i="13" s="1"/>
  <c r="AN5" i="5"/>
  <c r="AP5" i="5"/>
  <c r="Z77" i="15" s="1"/>
  <c r="O89" i="12"/>
  <c r="AG5" i="5"/>
  <c r="O89" i="13"/>
  <c r="AO5" i="5"/>
  <c r="O111" i="16"/>
  <c r="O87" i="11"/>
  <c r="AF5" i="5"/>
  <c r="P75" i="1" s="1"/>
  <c r="P42" i="5"/>
  <c r="O43" i="5" s="1"/>
  <c r="Q41" i="5" s="1"/>
  <c r="C415" i="5"/>
  <c r="D415" i="5" s="1"/>
  <c r="D421" i="5" s="1"/>
  <c r="B421" i="5"/>
  <c r="X337" i="5"/>
  <c r="V337" i="5"/>
  <c r="AE7" i="5"/>
  <c r="AF6" i="5" s="1"/>
  <c r="AF7" i="5" s="1"/>
  <c r="AG6" i="5" s="1"/>
  <c r="AG7" i="5" s="1"/>
  <c r="AH6" i="5" s="1"/>
  <c r="AH7" i="5" s="1"/>
  <c r="AI6" i="5" s="1"/>
  <c r="AA498" i="5"/>
  <c r="R32" i="5"/>
  <c r="S32" i="5" s="1"/>
  <c r="T312" i="5"/>
  <c r="T313" i="5" s="1"/>
  <c r="M199" i="5"/>
  <c r="X335" i="5"/>
  <c r="X336" i="5"/>
  <c r="AA335" i="5"/>
  <c r="AB336" i="5"/>
  <c r="S67" i="14"/>
  <c r="AA336" i="5"/>
  <c r="U254" i="5"/>
  <c r="S93" i="5"/>
  <c r="AA173" i="5"/>
  <c r="K37" i="5"/>
  <c r="W256" i="5"/>
  <c r="L199" i="5"/>
  <c r="AD77" i="5"/>
  <c r="AD158" i="5" s="1"/>
  <c r="AD239" i="5" s="1"/>
  <c r="AD320" i="5" s="1"/>
  <c r="AD401" i="5" s="1"/>
  <c r="AD482" i="5" s="1"/>
  <c r="V94" i="5"/>
  <c r="U67" i="14"/>
  <c r="T65" i="1"/>
  <c r="R67" i="13"/>
  <c r="O67" i="15"/>
  <c r="Q30" i="5"/>
  <c r="C344" i="5"/>
  <c r="C345" i="5" s="1"/>
  <c r="C64" i="5"/>
  <c r="C65" i="5" s="1"/>
  <c r="C69" i="5" s="1"/>
  <c r="C129" i="5"/>
  <c r="C130" i="5" s="1"/>
  <c r="C234" i="5"/>
  <c r="C235" i="5" s="1"/>
  <c r="C145" i="5"/>
  <c r="C146" i="5" s="1"/>
  <c r="C150" i="5" s="1"/>
  <c r="C210" i="5"/>
  <c r="C211" i="5" s="1"/>
  <c r="C307" i="5"/>
  <c r="C308" i="5" s="1"/>
  <c r="C372" i="5"/>
  <c r="C373" i="5" s="1"/>
  <c r="C377" i="5" s="1"/>
  <c r="C469" i="5"/>
  <c r="C470" i="5" s="1"/>
  <c r="C218" i="5"/>
  <c r="C219" i="5" s="1"/>
  <c r="C223" i="5" s="1"/>
  <c r="C396" i="5"/>
  <c r="C397" i="5" s="1"/>
  <c r="C380" i="5"/>
  <c r="C381" i="5" s="1"/>
  <c r="C425" i="5"/>
  <c r="C426" i="5" s="1"/>
  <c r="D426" i="5" s="1"/>
  <c r="E426" i="5" s="1"/>
  <c r="F426" i="5" s="1"/>
  <c r="G426" i="5" s="1"/>
  <c r="H426" i="5" s="1"/>
  <c r="I426" i="5" s="1"/>
  <c r="J426" i="5" s="1"/>
  <c r="K426" i="5" s="1"/>
  <c r="L426" i="5" s="1"/>
  <c r="M426" i="5" s="1"/>
  <c r="C153" i="5"/>
  <c r="O67" i="14"/>
  <c r="T67" i="15"/>
  <c r="P2" i="5"/>
  <c r="N76" i="1"/>
  <c r="N108" i="16"/>
  <c r="K88" i="16"/>
  <c r="E88" i="16"/>
  <c r="G85" i="16"/>
  <c r="C299" i="5"/>
  <c r="C300" i="5" s="1"/>
  <c r="C304" i="5" s="1"/>
  <c r="C315" i="5"/>
  <c r="C316" i="5" s="1"/>
  <c r="C241" i="5"/>
  <c r="C242" i="5" s="1"/>
  <c r="C85" i="16"/>
  <c r="I88" i="16"/>
  <c r="T108" i="16"/>
  <c r="W67" i="12"/>
  <c r="T65" i="11"/>
  <c r="S310" i="5"/>
  <c r="I86" i="16"/>
  <c r="R108" i="16"/>
  <c r="P28" i="5"/>
  <c r="S67" i="15"/>
  <c r="S229" i="5"/>
  <c r="U67" i="13"/>
  <c r="O67" i="13"/>
  <c r="D85" i="16"/>
  <c r="V67" i="13"/>
  <c r="V65" i="11"/>
  <c r="W336" i="5"/>
  <c r="U93" i="5"/>
  <c r="AB175" i="5"/>
  <c r="X67" i="12"/>
  <c r="N81" i="14"/>
  <c r="N78" i="14"/>
  <c r="A21" i="1"/>
  <c r="V392" i="5"/>
  <c r="W392" i="5" s="1"/>
  <c r="C10" i="5"/>
  <c r="R10" i="5"/>
  <c r="P10" i="5"/>
  <c r="T10" i="5"/>
  <c r="S10" i="5"/>
  <c r="N10" i="5"/>
  <c r="Q10" i="5"/>
  <c r="T67" i="12"/>
  <c r="A16" i="16"/>
  <c r="A44" i="16" s="1"/>
  <c r="A32" i="16"/>
  <c r="A56" i="16" s="1"/>
  <c r="A25" i="1"/>
  <c r="P67" i="13"/>
  <c r="W65" i="11"/>
  <c r="P67" i="12"/>
  <c r="V71" i="5"/>
  <c r="V476" i="5"/>
  <c r="V314" i="5"/>
  <c r="V152" i="5"/>
  <c r="T35" i="5"/>
  <c r="V233" i="5"/>
  <c r="R67" i="14"/>
  <c r="Q67" i="15"/>
  <c r="A23" i="16"/>
  <c r="A51" i="16" s="1"/>
  <c r="A21" i="15"/>
  <c r="V67" i="15"/>
  <c r="T104" i="5"/>
  <c r="R509" i="5"/>
  <c r="R266" i="5"/>
  <c r="R347" i="5"/>
  <c r="R185" i="5"/>
  <c r="A1" i="10"/>
  <c r="A1" i="4"/>
  <c r="P65" i="1"/>
  <c r="O65" i="11"/>
  <c r="V67" i="14"/>
  <c r="B259" i="5"/>
  <c r="B260" i="5" s="1"/>
  <c r="B16" i="12" s="1"/>
  <c r="C253" i="5"/>
  <c r="C256" i="5" s="1"/>
  <c r="C296" i="5"/>
  <c r="T67" i="13"/>
  <c r="S472" i="5"/>
  <c r="S148" i="5"/>
  <c r="V65" i="1"/>
  <c r="P27" i="5"/>
  <c r="X67" i="15"/>
  <c r="B97" i="5"/>
  <c r="B94" i="5"/>
  <c r="Q108" i="16"/>
  <c r="C88" i="16"/>
  <c r="H88" i="16"/>
  <c r="U65" i="11"/>
  <c r="S474" i="5"/>
  <c r="T474" i="5" s="1"/>
  <c r="P33" i="5"/>
  <c r="Z497" i="5"/>
  <c r="Y92" i="5"/>
  <c r="J361" i="5"/>
  <c r="J199" i="5"/>
  <c r="W335" i="5"/>
  <c r="W416" i="5"/>
  <c r="Z254" i="5"/>
  <c r="AA497" i="5"/>
  <c r="T92" i="5"/>
  <c r="AM4" i="5"/>
  <c r="AB92" i="5"/>
  <c r="AH5" i="5"/>
  <c r="AJ4" i="5"/>
  <c r="S173" i="5"/>
  <c r="T254" i="5"/>
  <c r="Z335" i="5"/>
  <c r="AA92" i="5"/>
  <c r="Y335" i="5"/>
  <c r="AK5" i="5"/>
  <c r="AL4" i="5"/>
  <c r="I361" i="5"/>
  <c r="K199" i="5"/>
  <c r="X254" i="5"/>
  <c r="V173" i="5"/>
  <c r="AA174" i="5"/>
  <c r="AB94" i="5"/>
  <c r="Y256" i="5"/>
  <c r="AL5" i="5"/>
  <c r="M442" i="5"/>
  <c r="J280" i="5"/>
  <c r="M118" i="5"/>
  <c r="T499" i="5"/>
  <c r="T337" i="5"/>
  <c r="X418" i="5"/>
  <c r="U256" i="5"/>
  <c r="Y77" i="5"/>
  <c r="Y158" i="5" s="1"/>
  <c r="Y239" i="5" s="1"/>
  <c r="Y320" i="5" s="1"/>
  <c r="Y401" i="5" s="1"/>
  <c r="Y482" i="5" s="1"/>
  <c r="T77" i="5"/>
  <c r="T158" i="5" s="1"/>
  <c r="T239" i="5" s="1"/>
  <c r="T320" i="5" s="1"/>
  <c r="T401" i="5" s="1"/>
  <c r="T482" i="5" s="1"/>
  <c r="V76" i="5"/>
  <c r="V157" i="5" s="1"/>
  <c r="V238" i="5" s="1"/>
  <c r="V319" i="5" s="1"/>
  <c r="V400" i="5" s="1"/>
  <c r="V481" i="5" s="1"/>
  <c r="Z255" i="5"/>
  <c r="AB416" i="5"/>
  <c r="Y417" i="5"/>
  <c r="W94" i="5"/>
  <c r="AI5" i="5"/>
  <c r="AF4" i="5"/>
  <c r="M361" i="5"/>
  <c r="V497" i="5"/>
  <c r="T335" i="5"/>
  <c r="T417" i="5"/>
  <c r="T255" i="5"/>
  <c r="U174" i="5"/>
  <c r="N85" i="12"/>
  <c r="N107" i="16"/>
  <c r="N83" i="1"/>
  <c r="AA417" i="5"/>
  <c r="Y499" i="5"/>
  <c r="S174" i="5"/>
  <c r="V498" i="5"/>
  <c r="S418" i="5"/>
  <c r="T256" i="5"/>
  <c r="W174" i="5"/>
  <c r="R162" i="5"/>
  <c r="A168" i="5" s="1"/>
  <c r="R485" i="5"/>
  <c r="A491" i="5" s="1"/>
  <c r="R98" i="5"/>
  <c r="Z498" i="5"/>
  <c r="Y93" i="5"/>
  <c r="R99" i="5"/>
  <c r="Z418" i="5"/>
  <c r="AA94" i="5"/>
  <c r="Y174" i="5"/>
  <c r="T93" i="5"/>
  <c r="R100" i="5"/>
  <c r="Z417" i="5"/>
  <c r="AB417" i="5"/>
  <c r="V93" i="5"/>
  <c r="X498" i="5"/>
  <c r="T336" i="5"/>
  <c r="U417" i="5"/>
  <c r="S256" i="5"/>
  <c r="T174" i="5"/>
  <c r="R324" i="5"/>
  <c r="A330" i="5" s="1"/>
  <c r="X77" i="5"/>
  <c r="X158" i="5" s="1"/>
  <c r="X239" i="5" s="1"/>
  <c r="X320" i="5" s="1"/>
  <c r="X401" i="5" s="1"/>
  <c r="X482" i="5" s="1"/>
  <c r="W76" i="5"/>
  <c r="W157" i="5" s="1"/>
  <c r="W238" i="5" s="1"/>
  <c r="W319" i="5" s="1"/>
  <c r="W400" i="5" s="1"/>
  <c r="W481" i="5" s="1"/>
  <c r="R101" i="5"/>
  <c r="Z175" i="5"/>
  <c r="AB498" i="5"/>
  <c r="X93" i="5"/>
  <c r="T175" i="5"/>
  <c r="U499" i="5"/>
  <c r="V336" i="5"/>
  <c r="W417" i="5"/>
  <c r="R243" i="5"/>
  <c r="A249" i="5" s="1"/>
  <c r="AC77" i="5"/>
  <c r="AC158" i="5" s="1"/>
  <c r="AC239" i="5" s="1"/>
  <c r="AC320" i="5" s="1"/>
  <c r="AC401" i="5" s="1"/>
  <c r="AC482" i="5" s="1"/>
  <c r="AB76" i="5"/>
  <c r="AB157" i="5" s="1"/>
  <c r="AB238" i="5" s="1"/>
  <c r="AB319" i="5" s="1"/>
  <c r="AB400" i="5" s="1"/>
  <c r="AB481" i="5" s="1"/>
  <c r="S75" i="5"/>
  <c r="S156" i="5" s="1"/>
  <c r="S237" i="5" s="1"/>
  <c r="S318" i="5" s="1"/>
  <c r="S399" i="5" s="1"/>
  <c r="S480" i="5" s="1"/>
  <c r="AM5" i="5"/>
  <c r="B418" i="5"/>
  <c r="N69" i="18"/>
  <c r="N79" i="18"/>
  <c r="N38" i="18"/>
  <c r="N48" i="18"/>
  <c r="N89" i="18"/>
  <c r="N18" i="18"/>
  <c r="N99" i="18"/>
  <c r="N58" i="18"/>
  <c r="N28" i="18"/>
  <c r="N8" i="18"/>
  <c r="A22" i="15"/>
  <c r="A22" i="12"/>
  <c r="N78" i="12"/>
  <c r="N78" i="15"/>
  <c r="N81" i="13"/>
  <c r="A28" i="16"/>
  <c r="A54" i="16" s="1"/>
  <c r="A22" i="13"/>
  <c r="B337" i="5"/>
  <c r="B341" i="5" s="1"/>
  <c r="B16" i="13" s="1"/>
  <c r="C91" i="5"/>
  <c r="D91" i="5" s="1"/>
  <c r="E91" i="5" s="1"/>
  <c r="E94" i="5" s="1"/>
  <c r="A21" i="13"/>
  <c r="A1" i="7"/>
  <c r="C334" i="5"/>
  <c r="C340" i="5" s="1"/>
  <c r="A23" i="15"/>
  <c r="A22" i="16"/>
  <c r="A50" i="16" s="1"/>
  <c r="T85" i="14"/>
  <c r="O83" i="1"/>
  <c r="O83" i="11"/>
  <c r="O85" i="13"/>
  <c r="T83" i="1"/>
  <c r="T107" i="16"/>
  <c r="T85" i="12"/>
  <c r="A10" i="16"/>
  <c r="A38" i="16" s="1"/>
  <c r="A29" i="16"/>
  <c r="A55" i="16" s="1"/>
  <c r="A20" i="1"/>
  <c r="T85" i="13"/>
  <c r="A2" i="7"/>
  <c r="A21" i="12"/>
  <c r="C175" i="5"/>
  <c r="A13" i="16"/>
  <c r="A41" i="16" s="1"/>
  <c r="A22" i="11"/>
  <c r="A2" i="4"/>
  <c r="A2" i="10"/>
  <c r="A2" i="9"/>
  <c r="A22" i="14"/>
  <c r="A21" i="16"/>
  <c r="A49" i="16" s="1"/>
  <c r="A21" i="14"/>
  <c r="A20" i="16"/>
  <c r="A48" i="16" s="1"/>
  <c r="B5" i="10"/>
  <c r="B5" i="4"/>
  <c r="B5" i="9"/>
  <c r="B5" i="7"/>
  <c r="B6" i="1"/>
  <c r="A20" i="11"/>
  <c r="A19" i="16"/>
  <c r="A47" i="16" s="1"/>
  <c r="A23" i="13"/>
  <c r="S85" i="12"/>
  <c r="S83" i="1"/>
  <c r="S85" i="15"/>
  <c r="S85" i="14"/>
  <c r="S85" i="13"/>
  <c r="S107" i="16"/>
  <c r="S83" i="11"/>
  <c r="O85" i="12"/>
  <c r="O85" i="15"/>
  <c r="O85" i="14"/>
  <c r="A12" i="16"/>
  <c r="A40" i="16" s="1"/>
  <c r="A21" i="11"/>
  <c r="A1" i="8"/>
  <c r="A1" i="9"/>
  <c r="V85" i="15"/>
  <c r="U234" i="5"/>
  <c r="U153" i="5"/>
  <c r="U477" i="5"/>
  <c r="V315" i="5"/>
  <c r="V72" i="5"/>
  <c r="V396" i="5"/>
  <c r="D178" i="5"/>
  <c r="E172" i="5"/>
  <c r="D175" i="5"/>
  <c r="C496" i="5"/>
  <c r="B499" i="5"/>
  <c r="B503" i="5" s="1"/>
  <c r="B16" i="15" s="1"/>
  <c r="C178" i="5"/>
  <c r="V68" i="5"/>
  <c r="L63" i="15"/>
  <c r="U230" i="5"/>
  <c r="X149" i="5"/>
  <c r="Y473" i="5"/>
  <c r="V311" i="5"/>
  <c r="Y31" i="5"/>
  <c r="Q33" i="5"/>
  <c r="P124" i="16"/>
  <c r="Y83" i="1"/>
  <c r="L63" i="14"/>
  <c r="Y83" i="11"/>
  <c r="J99" i="16"/>
  <c r="R83" i="1"/>
  <c r="Z85" i="14"/>
  <c r="Q85" i="14"/>
  <c r="R107" i="16"/>
  <c r="Z85" i="15"/>
  <c r="R85" i="14"/>
  <c r="G99" i="16"/>
  <c r="L63" i="12"/>
  <c r="K99" i="16"/>
  <c r="R83" i="11"/>
  <c r="Z83" i="1"/>
  <c r="Q107" i="16"/>
  <c r="P126" i="16"/>
  <c r="Z85" i="12"/>
  <c r="F99" i="16"/>
  <c r="Z85" i="13"/>
  <c r="I99" i="16"/>
  <c r="Y85" i="13"/>
  <c r="Y85" i="12"/>
  <c r="Y85" i="14"/>
  <c r="T85" i="15"/>
  <c r="X85" i="15"/>
  <c r="X83" i="11"/>
  <c r="X85" i="12"/>
  <c r="X85" i="13"/>
  <c r="P85" i="12"/>
  <c r="P85" i="13"/>
  <c r="P107" i="16"/>
  <c r="P85" i="14"/>
  <c r="P85" i="15"/>
  <c r="D99" i="16"/>
  <c r="C99" i="16"/>
  <c r="P83" i="1"/>
  <c r="Q85" i="12"/>
  <c r="Q85" i="15"/>
  <c r="W85" i="12"/>
  <c r="W83" i="11"/>
  <c r="W85" i="15"/>
  <c r="W83" i="1"/>
  <c r="W85" i="14"/>
  <c r="W85" i="13"/>
  <c r="H99" i="16"/>
  <c r="V83" i="11"/>
  <c r="V85" i="12"/>
  <c r="V85" i="14"/>
  <c r="V85" i="13"/>
  <c r="B99" i="16"/>
  <c r="X85" i="14"/>
  <c r="E99" i="16"/>
  <c r="U85" i="15"/>
  <c r="U85" i="14"/>
  <c r="L61" i="1"/>
  <c r="R85" i="12"/>
  <c r="R85" i="15"/>
  <c r="L61" i="11"/>
  <c r="L63" i="13"/>
  <c r="Q83" i="1"/>
  <c r="U85" i="12"/>
  <c r="U83" i="1"/>
  <c r="U83" i="11"/>
  <c r="Q85" i="13"/>
  <c r="A4" i="11"/>
  <c r="A108" i="5"/>
  <c r="A4" i="13"/>
  <c r="A270" i="5"/>
  <c r="A4" i="15"/>
  <c r="A432" i="5"/>
  <c r="A189" i="5"/>
  <c r="A4" i="12"/>
  <c r="A4" i="14"/>
  <c r="A351" i="5"/>
  <c r="P128" i="16"/>
  <c r="P129" i="16"/>
  <c r="P125" i="16"/>
  <c r="A27" i="5"/>
  <c r="P127" i="16"/>
  <c r="U312" i="5" l="1"/>
  <c r="U313" i="5" s="1"/>
  <c r="Z77" i="12"/>
  <c r="AE8" i="5"/>
  <c r="Y78" i="5"/>
  <c r="Y159" i="5" s="1"/>
  <c r="Y240" i="5" s="1"/>
  <c r="Y321" i="5" s="1"/>
  <c r="Y402" i="5" s="1"/>
  <c r="Y483" i="5" s="1"/>
  <c r="W78" i="5"/>
  <c r="W159" i="5" s="1"/>
  <c r="W240" i="5" s="1"/>
  <c r="W321" i="5" s="1"/>
  <c r="W402" i="5" s="1"/>
  <c r="W483" i="5" s="1"/>
  <c r="U80" i="12"/>
  <c r="U80" i="14"/>
  <c r="Q78" i="1"/>
  <c r="D300" i="5"/>
  <c r="S116" i="16"/>
  <c r="D381" i="5"/>
  <c r="S78" i="11"/>
  <c r="C474" i="5"/>
  <c r="C134" i="5"/>
  <c r="S78" i="1"/>
  <c r="C312" i="5"/>
  <c r="C142" i="5"/>
  <c r="C231" i="5"/>
  <c r="C385" i="5"/>
  <c r="C458" i="5"/>
  <c r="C215" i="5"/>
  <c r="D334" i="5"/>
  <c r="D340" i="5" s="1"/>
  <c r="W116" i="16"/>
  <c r="F37" i="5"/>
  <c r="F361" i="5" s="1"/>
  <c r="R421" i="5"/>
  <c r="R259" i="5"/>
  <c r="S80" i="14"/>
  <c r="R178" i="5"/>
  <c r="S80" i="12"/>
  <c r="S80" i="15"/>
  <c r="C379" i="5"/>
  <c r="C387" i="5"/>
  <c r="R345" i="5"/>
  <c r="C306" i="5"/>
  <c r="C207" i="5"/>
  <c r="U80" i="13"/>
  <c r="U80" i="15"/>
  <c r="P87" i="1"/>
  <c r="P89" i="14"/>
  <c r="P87" i="11"/>
  <c r="P75" i="11"/>
  <c r="V116" i="16"/>
  <c r="C144" i="5"/>
  <c r="X78" i="11"/>
  <c r="H442" i="5"/>
  <c r="R264" i="5"/>
  <c r="P77" i="14"/>
  <c r="O80" i="12"/>
  <c r="AF8" i="5"/>
  <c r="L88" i="16"/>
  <c r="O116" i="16"/>
  <c r="O80" i="15"/>
  <c r="R507" i="5"/>
  <c r="R426" i="5"/>
  <c r="U231" i="5"/>
  <c r="V231" i="5" s="1"/>
  <c r="O78" i="1"/>
  <c r="B37" i="5"/>
  <c r="O106" i="16" s="1"/>
  <c r="L86" i="16"/>
  <c r="V312" i="5"/>
  <c r="W312" i="5" s="1"/>
  <c r="S78" i="5"/>
  <c r="S159" i="5" s="1"/>
  <c r="S240" i="5" s="1"/>
  <c r="S321" i="5" s="1"/>
  <c r="S402" i="5" s="1"/>
  <c r="S483" i="5" s="1"/>
  <c r="C395" i="5"/>
  <c r="U150" i="5"/>
  <c r="V150" i="5" s="1"/>
  <c r="V151" i="5" s="1"/>
  <c r="T151" i="5"/>
  <c r="U69" i="5"/>
  <c r="V69" i="5" s="1"/>
  <c r="W69" i="5" s="1"/>
  <c r="X69" i="5" s="1"/>
  <c r="T70" i="5"/>
  <c r="T32" i="5"/>
  <c r="S33" i="5"/>
  <c r="R508" i="5"/>
  <c r="R427" i="5"/>
  <c r="R184" i="5"/>
  <c r="R346" i="5"/>
  <c r="R265" i="5"/>
  <c r="P116" i="16"/>
  <c r="Q116" i="16"/>
  <c r="T428" i="5"/>
  <c r="D97" i="5"/>
  <c r="D94" i="5"/>
  <c r="U78" i="11"/>
  <c r="U428" i="5"/>
  <c r="C418" i="5"/>
  <c r="S428" i="5"/>
  <c r="Y80" i="13"/>
  <c r="R33" i="5"/>
  <c r="R501" i="5"/>
  <c r="L85" i="16"/>
  <c r="Y78" i="11"/>
  <c r="R420" i="5"/>
  <c r="T116" i="16"/>
  <c r="R258" i="5"/>
  <c r="P77" i="13"/>
  <c r="X116" i="16"/>
  <c r="U116" i="16"/>
  <c r="R177" i="5"/>
  <c r="P77" i="15"/>
  <c r="R340" i="5"/>
  <c r="C45" i="5"/>
  <c r="R116" i="16"/>
  <c r="C337" i="5"/>
  <c r="C341" i="5" s="1"/>
  <c r="C16" i="13" s="1"/>
  <c r="B452" i="5"/>
  <c r="B98" i="5"/>
  <c r="B16" i="1" s="1"/>
  <c r="AG8" i="5"/>
  <c r="P77" i="12"/>
  <c r="C209" i="5"/>
  <c r="C452" i="5"/>
  <c r="C136" i="5"/>
  <c r="B422" i="5"/>
  <c r="B16" i="14" s="1"/>
  <c r="C126" i="5"/>
  <c r="D418" i="5"/>
  <c r="D422" i="5" s="1"/>
  <c r="D16" i="14" s="1"/>
  <c r="O75" i="1"/>
  <c r="Q80" i="12"/>
  <c r="C450" i="5"/>
  <c r="T75" i="11"/>
  <c r="T77" i="15"/>
  <c r="T75" i="1"/>
  <c r="C288" i="5"/>
  <c r="Q80" i="15"/>
  <c r="C47" i="5"/>
  <c r="P111" i="16"/>
  <c r="P89" i="12"/>
  <c r="O77" i="14"/>
  <c r="O112" i="16"/>
  <c r="O113" i="16" s="1"/>
  <c r="O88" i="1"/>
  <c r="O89" i="1" s="1"/>
  <c r="O90" i="14"/>
  <c r="O91" i="14" s="1"/>
  <c r="O90" i="13"/>
  <c r="O91" i="13" s="1"/>
  <c r="O88" i="11"/>
  <c r="O89" i="11" s="1"/>
  <c r="O90" i="12"/>
  <c r="O91" i="12" s="1"/>
  <c r="Q42" i="5"/>
  <c r="B245" i="5" s="1"/>
  <c r="O90" i="15"/>
  <c r="O91" i="15" s="1"/>
  <c r="E415" i="5"/>
  <c r="F415" i="5" s="1"/>
  <c r="C259" i="5"/>
  <c r="C260" i="5" s="1"/>
  <c r="C16" i="12" s="1"/>
  <c r="C63" i="5"/>
  <c r="Y78" i="1"/>
  <c r="O77" i="12"/>
  <c r="Q78" i="11"/>
  <c r="D37" i="5"/>
  <c r="Z80" i="14"/>
  <c r="AD78" i="5"/>
  <c r="AD159" i="5" s="1"/>
  <c r="AD240" i="5" s="1"/>
  <c r="AD321" i="5" s="1"/>
  <c r="AD402" i="5" s="1"/>
  <c r="AD483" i="5" s="1"/>
  <c r="Z78" i="11"/>
  <c r="Z80" i="15"/>
  <c r="Z80" i="12"/>
  <c r="Z80" i="13"/>
  <c r="Z78" i="1"/>
  <c r="P89" i="13"/>
  <c r="Q80" i="13"/>
  <c r="G280" i="5"/>
  <c r="G199" i="5"/>
  <c r="G442" i="5"/>
  <c r="G118" i="5"/>
  <c r="G361" i="5"/>
  <c r="X75" i="11"/>
  <c r="X77" i="14"/>
  <c r="X77" i="15"/>
  <c r="X77" i="12"/>
  <c r="O77" i="13"/>
  <c r="O75" i="11"/>
  <c r="C55" i="5"/>
  <c r="T229" i="5"/>
  <c r="Q28" i="5"/>
  <c r="Q27" i="5"/>
  <c r="Q29" i="5"/>
  <c r="T67" i="5"/>
  <c r="S98" i="5" s="1"/>
  <c r="T472" i="5"/>
  <c r="S502" i="5" s="1"/>
  <c r="T148" i="5"/>
  <c r="S183" i="5" s="1"/>
  <c r="T310" i="5"/>
  <c r="T391" i="5"/>
  <c r="C225" i="5"/>
  <c r="Y75" i="1"/>
  <c r="Y77" i="12"/>
  <c r="Y77" i="14"/>
  <c r="Y77" i="13"/>
  <c r="Y75" i="11"/>
  <c r="Y77" i="15"/>
  <c r="B395" i="5"/>
  <c r="X77" i="13"/>
  <c r="D72" i="5"/>
  <c r="D71" i="5" s="1"/>
  <c r="D101" i="5"/>
  <c r="D100" i="5" s="1"/>
  <c r="D263" i="5"/>
  <c r="D403" i="5"/>
  <c r="D425" i="5"/>
  <c r="D424" i="5" s="1"/>
  <c r="D56" i="5"/>
  <c r="D344" i="5"/>
  <c r="D343" i="5" s="1"/>
  <c r="D315" i="5"/>
  <c r="D314" i="5" s="1"/>
  <c r="D453" i="5"/>
  <c r="D454" i="5" s="1"/>
  <c r="D469" i="5"/>
  <c r="D468" i="5" s="1"/>
  <c r="Q2" i="5"/>
  <c r="D226" i="5"/>
  <c r="D225" i="5" s="1"/>
  <c r="D307" i="5"/>
  <c r="D306" i="5" s="1"/>
  <c r="D79" i="5"/>
  <c r="D78" i="5" s="1"/>
  <c r="D234" i="5"/>
  <c r="D233" i="5" s="1"/>
  <c r="D137" i="5"/>
  <c r="D136" i="5" s="1"/>
  <c r="D241" i="5"/>
  <c r="D240" i="5" s="1"/>
  <c r="D299" i="5"/>
  <c r="D298" i="5" s="1"/>
  <c r="R30" i="5"/>
  <c r="D182" i="5"/>
  <c r="D181" i="5" s="1"/>
  <c r="D461" i="5"/>
  <c r="D48" i="5"/>
  <c r="D49" i="5" s="1"/>
  <c r="D372" i="5"/>
  <c r="D373" i="5" s="1"/>
  <c r="D210" i="5"/>
  <c r="D211" i="5" s="1"/>
  <c r="D484" i="5"/>
  <c r="D483" i="5" s="1"/>
  <c r="D160" i="5"/>
  <c r="D159" i="5" s="1"/>
  <c r="D64" i="5"/>
  <c r="D63" i="5" s="1"/>
  <c r="D388" i="5"/>
  <c r="D387" i="5" s="1"/>
  <c r="D153" i="5"/>
  <c r="D152" i="5" s="1"/>
  <c r="D396" i="5"/>
  <c r="D395" i="5" s="1"/>
  <c r="D477" i="5"/>
  <c r="D506" i="5"/>
  <c r="D505" i="5" s="1"/>
  <c r="D322" i="5"/>
  <c r="D321" i="5" s="1"/>
  <c r="D218" i="5"/>
  <c r="D217" i="5" s="1"/>
  <c r="D145" i="5"/>
  <c r="D144" i="5" s="1"/>
  <c r="D380" i="5"/>
  <c r="D379" i="5" s="1"/>
  <c r="D291" i="5"/>
  <c r="D292" i="5" s="1"/>
  <c r="D296" i="5" s="1"/>
  <c r="D129" i="5"/>
  <c r="D130" i="5" s="1"/>
  <c r="X78" i="1"/>
  <c r="X80" i="13"/>
  <c r="X80" i="12"/>
  <c r="AB78" i="5"/>
  <c r="AB159" i="5" s="1"/>
  <c r="AB240" i="5" s="1"/>
  <c r="AB321" i="5" s="1"/>
  <c r="AB402" i="5" s="1"/>
  <c r="AB483" i="5" s="1"/>
  <c r="C421" i="5"/>
  <c r="C94" i="5"/>
  <c r="C128" i="5"/>
  <c r="X75" i="1"/>
  <c r="H361" i="5"/>
  <c r="C290" i="5"/>
  <c r="O78" i="11"/>
  <c r="Q80" i="14"/>
  <c r="AH8" i="5"/>
  <c r="C217" i="5"/>
  <c r="Q77" i="14"/>
  <c r="Q77" i="12"/>
  <c r="Q75" i="11"/>
  <c r="Q77" i="15"/>
  <c r="Q75" i="1"/>
  <c r="Q77" i="13"/>
  <c r="Y80" i="12"/>
  <c r="Y80" i="14"/>
  <c r="AC78" i="5"/>
  <c r="AC159" i="5" s="1"/>
  <c r="AC240" i="5" s="1"/>
  <c r="AC321" i="5" s="1"/>
  <c r="AC402" i="5" s="1"/>
  <c r="AC483" i="5" s="1"/>
  <c r="C460" i="5"/>
  <c r="C97" i="5"/>
  <c r="C468" i="5"/>
  <c r="H118" i="5"/>
  <c r="P89" i="15"/>
  <c r="T77" i="14"/>
  <c r="O80" i="14"/>
  <c r="V78" i="5"/>
  <c r="V159" i="5" s="1"/>
  <c r="V240" i="5" s="1"/>
  <c r="V321" i="5" s="1"/>
  <c r="V402" i="5" s="1"/>
  <c r="V483" i="5" s="1"/>
  <c r="R80" i="15"/>
  <c r="E37" i="5"/>
  <c r="R78" i="11"/>
  <c r="R80" i="14"/>
  <c r="R80" i="12"/>
  <c r="R80" i="13"/>
  <c r="R78" i="1"/>
  <c r="X80" i="15"/>
  <c r="H199" i="5"/>
  <c r="O77" i="15"/>
  <c r="T77" i="12"/>
  <c r="C298" i="5"/>
  <c r="C371" i="5"/>
  <c r="C369" i="5"/>
  <c r="W77" i="12"/>
  <c r="W77" i="15"/>
  <c r="W75" i="1"/>
  <c r="W77" i="13"/>
  <c r="W77" i="14"/>
  <c r="W75" i="11"/>
  <c r="B290" i="5"/>
  <c r="B505" i="5"/>
  <c r="C179" i="5"/>
  <c r="C16" i="11" s="1"/>
  <c r="W80" i="15"/>
  <c r="W80" i="13"/>
  <c r="W80" i="14"/>
  <c r="W78" i="1"/>
  <c r="W80" i="12"/>
  <c r="W78" i="11"/>
  <c r="AA78" i="5"/>
  <c r="AA159" i="5" s="1"/>
  <c r="AA240" i="5" s="1"/>
  <c r="AA321" i="5" s="1"/>
  <c r="AA402" i="5" s="1"/>
  <c r="AA483" i="5" s="1"/>
  <c r="S394" i="5"/>
  <c r="S151" i="5"/>
  <c r="S70" i="5"/>
  <c r="S313" i="5"/>
  <c r="S475" i="5"/>
  <c r="S232" i="5"/>
  <c r="B476" i="5"/>
  <c r="C233" i="5"/>
  <c r="C152" i="5"/>
  <c r="C343" i="5"/>
  <c r="B63" i="5"/>
  <c r="D253" i="5"/>
  <c r="D259" i="5" s="1"/>
  <c r="T475" i="5"/>
  <c r="U474" i="5"/>
  <c r="C240" i="5"/>
  <c r="B240" i="5"/>
  <c r="C37" i="5"/>
  <c r="P78" i="11"/>
  <c r="P80" i="12"/>
  <c r="T78" i="5"/>
  <c r="T159" i="5" s="1"/>
  <c r="T240" i="5" s="1"/>
  <c r="T321" i="5" s="1"/>
  <c r="T402" i="5" s="1"/>
  <c r="T483" i="5" s="1"/>
  <c r="P78" i="1"/>
  <c r="P80" i="13"/>
  <c r="P80" i="15"/>
  <c r="P80" i="14"/>
  <c r="V80" i="13"/>
  <c r="V80" i="15"/>
  <c r="V78" i="1"/>
  <c r="V80" i="14"/>
  <c r="V78" i="11"/>
  <c r="V80" i="12"/>
  <c r="Z78" i="5"/>
  <c r="Z159" i="5" s="1"/>
  <c r="Z240" i="5" s="1"/>
  <c r="Z321" i="5" s="1"/>
  <c r="Z402" i="5" s="1"/>
  <c r="Z483" i="5" s="1"/>
  <c r="S347" i="5"/>
  <c r="U347" i="5"/>
  <c r="V347" i="5"/>
  <c r="T347" i="5"/>
  <c r="B45" i="5"/>
  <c r="B483" i="5"/>
  <c r="R342" i="5"/>
  <c r="R423" i="5"/>
  <c r="R261" i="5"/>
  <c r="R180" i="5"/>
  <c r="R504" i="5"/>
  <c r="S77" i="15"/>
  <c r="S77" i="12"/>
  <c r="S77" i="14"/>
  <c r="S75" i="11"/>
  <c r="S77" i="13"/>
  <c r="S75" i="1"/>
  <c r="U77" i="13"/>
  <c r="U77" i="12"/>
  <c r="U75" i="11"/>
  <c r="U77" i="14"/>
  <c r="U75" i="1"/>
  <c r="U77" i="15"/>
  <c r="B225" i="5"/>
  <c r="B379" i="5"/>
  <c r="B209" i="5"/>
  <c r="C476" i="5"/>
  <c r="B314" i="5"/>
  <c r="B136" i="5"/>
  <c r="B159" i="5"/>
  <c r="B387" i="5"/>
  <c r="B424" i="5"/>
  <c r="B321" i="5"/>
  <c r="T185" i="5"/>
  <c r="S185" i="5"/>
  <c r="B468" i="5"/>
  <c r="B100" i="5"/>
  <c r="C402" i="5"/>
  <c r="B371" i="5"/>
  <c r="B288" i="5"/>
  <c r="B71" i="5"/>
  <c r="R341" i="5"/>
  <c r="R422" i="5"/>
  <c r="R260" i="5"/>
  <c r="R179" i="5"/>
  <c r="R503" i="5"/>
  <c r="V75" i="11"/>
  <c r="V75" i="1"/>
  <c r="V77" i="13"/>
  <c r="V77" i="15"/>
  <c r="V77" i="14"/>
  <c r="V77" i="12"/>
  <c r="W233" i="5"/>
  <c r="W395" i="5"/>
  <c r="U35" i="5"/>
  <c r="W71" i="5"/>
  <c r="W476" i="5"/>
  <c r="W314" i="5"/>
  <c r="W152" i="5"/>
  <c r="B365" i="5"/>
  <c r="O86" i="14" s="1"/>
  <c r="B55" i="5"/>
  <c r="B369" i="5"/>
  <c r="AI7" i="5"/>
  <c r="AJ6" i="5" s="1"/>
  <c r="U266" i="5"/>
  <c r="S266" i="5"/>
  <c r="T266" i="5"/>
  <c r="B402" i="5"/>
  <c r="B181" i="5"/>
  <c r="B126" i="5"/>
  <c r="C505" i="5"/>
  <c r="C159" i="5"/>
  <c r="C71" i="5"/>
  <c r="T509" i="5"/>
  <c r="S509" i="5"/>
  <c r="U509" i="5"/>
  <c r="B78" i="5"/>
  <c r="B233" i="5"/>
  <c r="B262" i="5"/>
  <c r="C424" i="5"/>
  <c r="B207" i="5"/>
  <c r="B144" i="5"/>
  <c r="X78" i="5"/>
  <c r="X159" i="5" s="1"/>
  <c r="X240" i="5" s="1"/>
  <c r="X321" i="5" s="1"/>
  <c r="X402" i="5" s="1"/>
  <c r="X483" i="5" s="1"/>
  <c r="T78" i="11"/>
  <c r="T80" i="12"/>
  <c r="T80" i="15"/>
  <c r="T80" i="14"/>
  <c r="T80" i="13"/>
  <c r="T78" i="1"/>
  <c r="B217" i="5"/>
  <c r="B152" i="5"/>
  <c r="C321" i="5"/>
  <c r="B460" i="5"/>
  <c r="X101" i="5"/>
  <c r="AA101" i="5"/>
  <c r="S101" i="5"/>
  <c r="R263" i="5"/>
  <c r="V101" i="5"/>
  <c r="R344" i="5"/>
  <c r="R182" i="5"/>
  <c r="Z101" i="5"/>
  <c r="T101" i="5"/>
  <c r="R506" i="5"/>
  <c r="R425" i="5"/>
  <c r="Y101" i="5"/>
  <c r="W101" i="5"/>
  <c r="U101" i="5"/>
  <c r="AB101" i="5"/>
  <c r="R505" i="5"/>
  <c r="R424" i="5"/>
  <c r="R181" i="5"/>
  <c r="R262" i="5"/>
  <c r="R343" i="5"/>
  <c r="R77" i="14"/>
  <c r="R75" i="11"/>
  <c r="R75" i="1"/>
  <c r="R77" i="12"/>
  <c r="R77" i="15"/>
  <c r="R77" i="13"/>
  <c r="C483" i="5"/>
  <c r="B298" i="5"/>
  <c r="B47" i="5"/>
  <c r="B450" i="5"/>
  <c r="B128" i="5"/>
  <c r="C100" i="5"/>
  <c r="C181" i="5"/>
  <c r="C262" i="5"/>
  <c r="C78" i="5"/>
  <c r="B306" i="5"/>
  <c r="B343" i="5"/>
  <c r="C314" i="5"/>
  <c r="D179" i="5"/>
  <c r="D16" i="11" s="1"/>
  <c r="E97" i="5"/>
  <c r="E98" i="5" s="1"/>
  <c r="E16" i="1" s="1"/>
  <c r="F91" i="5"/>
  <c r="B102" i="1"/>
  <c r="B6" i="9"/>
  <c r="C5" i="1"/>
  <c r="B6" i="10"/>
  <c r="B6" i="8"/>
  <c r="B6" i="4"/>
  <c r="B6" i="7"/>
  <c r="W315" i="5"/>
  <c r="V477" i="5"/>
  <c r="V153" i="5"/>
  <c r="U185" i="5" s="1"/>
  <c r="W396" i="5"/>
  <c r="V428" i="5" s="1"/>
  <c r="W72" i="5"/>
  <c r="V104" i="5" s="1"/>
  <c r="V234" i="5"/>
  <c r="F172" i="5"/>
  <c r="E175" i="5"/>
  <c r="E178" i="5"/>
  <c r="D496" i="5"/>
  <c r="C499" i="5"/>
  <c r="C502" i="5"/>
  <c r="X392" i="5"/>
  <c r="W68" i="5"/>
  <c r="V230" i="5"/>
  <c r="U393" i="5"/>
  <c r="T394" i="5"/>
  <c r="Z31" i="5"/>
  <c r="Y149" i="5"/>
  <c r="Z473" i="5"/>
  <c r="W311" i="5"/>
  <c r="L99" i="16"/>
  <c r="D337" i="5" l="1"/>
  <c r="D341" i="5" s="1"/>
  <c r="D16" i="13" s="1"/>
  <c r="D485" i="5"/>
  <c r="C488" i="5" s="1"/>
  <c r="D80" i="5"/>
  <c r="C83" i="5" s="1"/>
  <c r="B429" i="5"/>
  <c r="D102" i="5"/>
  <c r="E102" i="5" s="1"/>
  <c r="D138" i="5"/>
  <c r="D142" i="5" s="1"/>
  <c r="D73" i="5"/>
  <c r="E73" i="5" s="1"/>
  <c r="D76" i="5" s="1"/>
  <c r="E334" i="5"/>
  <c r="E337" i="5" s="1"/>
  <c r="D219" i="5"/>
  <c r="D223" i="5" s="1"/>
  <c r="D308" i="5"/>
  <c r="D312" i="5" s="1"/>
  <c r="D161" i="5"/>
  <c r="C164" i="5" s="1"/>
  <c r="F442" i="5"/>
  <c r="F280" i="5"/>
  <c r="D377" i="5"/>
  <c r="D53" i="5"/>
  <c r="D458" i="5"/>
  <c r="B31" i="16"/>
  <c r="D134" i="5"/>
  <c r="D507" i="5"/>
  <c r="C510" i="5" s="1"/>
  <c r="B444" i="5"/>
  <c r="O82" i="15" s="1"/>
  <c r="F199" i="5"/>
  <c r="D345" i="5"/>
  <c r="C348" i="5" s="1"/>
  <c r="B8" i="1"/>
  <c r="B8" i="16" s="1"/>
  <c r="D402" i="5"/>
  <c r="D404" i="5"/>
  <c r="D40" i="5"/>
  <c r="Q81" i="1" s="1"/>
  <c r="D389" i="5"/>
  <c r="D470" i="5"/>
  <c r="D227" i="5"/>
  <c r="D460" i="5"/>
  <c r="D462" i="5"/>
  <c r="D476" i="5"/>
  <c r="D478" i="5"/>
  <c r="C481" i="5" s="1"/>
  <c r="B202" i="5"/>
  <c r="O83" i="12" s="1"/>
  <c r="B38" i="5"/>
  <c r="D323" i="5"/>
  <c r="C326" i="5" s="1"/>
  <c r="B361" i="5"/>
  <c r="B362" i="5" s="1"/>
  <c r="O81" i="14" s="1"/>
  <c r="D262" i="5"/>
  <c r="D264" i="5"/>
  <c r="C267" i="5" s="1"/>
  <c r="D215" i="5"/>
  <c r="D385" i="5"/>
  <c r="S103" i="5"/>
  <c r="S97" i="5"/>
  <c r="O67" i="1" s="1"/>
  <c r="S507" i="5"/>
  <c r="D183" i="5"/>
  <c r="C186" i="5" s="1"/>
  <c r="D397" i="5"/>
  <c r="D304" i="5"/>
  <c r="D242" i="5"/>
  <c r="C245" i="5" s="1"/>
  <c r="D316" i="5"/>
  <c r="D55" i="5"/>
  <c r="D57" i="5"/>
  <c r="D146" i="5"/>
  <c r="F118" i="5"/>
  <c r="D154" i="5"/>
  <c r="C157" i="5" s="1"/>
  <c r="D65" i="5"/>
  <c r="D235" i="5"/>
  <c r="C238" i="5" s="1"/>
  <c r="S422" i="5"/>
  <c r="D442" i="5"/>
  <c r="D443" i="5" s="1"/>
  <c r="Q81" i="15" s="1"/>
  <c r="S100" i="5"/>
  <c r="S345" i="5"/>
  <c r="D280" i="5"/>
  <c r="D281" i="5" s="1"/>
  <c r="Q81" i="13" s="1"/>
  <c r="D361" i="5"/>
  <c r="D362" i="5" s="1"/>
  <c r="Q81" i="14" s="1"/>
  <c r="U232" i="5"/>
  <c r="B157" i="5"/>
  <c r="D429" i="5"/>
  <c r="W150" i="5"/>
  <c r="S508" i="5"/>
  <c r="B199" i="5"/>
  <c r="U151" i="5"/>
  <c r="B282" i="5"/>
  <c r="O82" i="13" s="1"/>
  <c r="B121" i="5"/>
  <c r="O81" i="11" s="1"/>
  <c r="B407" i="5"/>
  <c r="B118" i="5"/>
  <c r="B119" i="5" s="1"/>
  <c r="O79" i="11" s="1"/>
  <c r="B400" i="5"/>
  <c r="B201" i="5"/>
  <c r="O82" i="12" s="1"/>
  <c r="B446" i="5"/>
  <c r="O86" i="15" s="1"/>
  <c r="B41" i="5"/>
  <c r="O84" i="1" s="1"/>
  <c r="B280" i="5"/>
  <c r="B281" i="5" s="1"/>
  <c r="O81" i="13" s="1"/>
  <c r="B445" i="5"/>
  <c r="O83" i="15" s="1"/>
  <c r="D121" i="5"/>
  <c r="Q81" i="11" s="1"/>
  <c r="U70" i="5"/>
  <c r="B203" i="5"/>
  <c r="O86" i="12" s="1"/>
  <c r="B39" i="5"/>
  <c r="O80" i="1" s="1"/>
  <c r="B120" i="5"/>
  <c r="O80" i="11" s="1"/>
  <c r="B364" i="5"/>
  <c r="O83" i="14" s="1"/>
  <c r="B442" i="5"/>
  <c r="B443" i="5" s="1"/>
  <c r="B363" i="5"/>
  <c r="O82" i="14" s="1"/>
  <c r="V313" i="5"/>
  <c r="V70" i="5"/>
  <c r="B283" i="5"/>
  <c r="O83" i="13" s="1"/>
  <c r="O105" i="16"/>
  <c r="B284" i="5"/>
  <c r="O86" i="13" s="1"/>
  <c r="B40" i="5"/>
  <c r="O81" i="1" s="1"/>
  <c r="C98" i="5"/>
  <c r="C16" i="1" s="1"/>
  <c r="B9" i="13"/>
  <c r="B122" i="5"/>
  <c r="O84" i="11" s="1"/>
  <c r="B8" i="12"/>
  <c r="B14" i="16" s="1"/>
  <c r="D118" i="5"/>
  <c r="D119" i="5" s="1"/>
  <c r="Q79" i="11" s="1"/>
  <c r="D202" i="5"/>
  <c r="Q83" i="12" s="1"/>
  <c r="D284" i="5"/>
  <c r="Q86" i="13" s="1"/>
  <c r="U32" i="5"/>
  <c r="T33" i="5"/>
  <c r="D364" i="5"/>
  <c r="Q83" i="14" s="1"/>
  <c r="D365" i="5"/>
  <c r="Q86" i="14" s="1"/>
  <c r="D120" i="5"/>
  <c r="Q80" i="11" s="1"/>
  <c r="C422" i="5"/>
  <c r="C16" i="14" s="1"/>
  <c r="D199" i="5"/>
  <c r="D200" i="5" s="1"/>
  <c r="D98" i="5"/>
  <c r="D16" i="1" s="1"/>
  <c r="Q105" i="16"/>
  <c r="S421" i="5"/>
  <c r="E421" i="5"/>
  <c r="E418" i="5"/>
  <c r="S340" i="5"/>
  <c r="S339" i="5"/>
  <c r="S346" i="5"/>
  <c r="S265" i="5"/>
  <c r="S258" i="5"/>
  <c r="S264" i="5"/>
  <c r="D290" i="5"/>
  <c r="B8" i="13" s="1"/>
  <c r="B17" i="16" s="1"/>
  <c r="D288" i="5"/>
  <c r="S259" i="5"/>
  <c r="D209" i="5"/>
  <c r="D207" i="5"/>
  <c r="D371" i="5"/>
  <c r="D369" i="5"/>
  <c r="E469" i="5"/>
  <c r="E468" i="5" s="1"/>
  <c r="E234" i="5"/>
  <c r="E233" i="5" s="1"/>
  <c r="E226" i="5"/>
  <c r="E225" i="5" s="1"/>
  <c r="E101" i="5"/>
  <c r="E100" i="5" s="1"/>
  <c r="E210" i="5"/>
  <c r="E211" i="5" s="1"/>
  <c r="E477" i="5"/>
  <c r="E476" i="5" s="1"/>
  <c r="E48" i="5"/>
  <c r="E49" i="5" s="1"/>
  <c r="E79" i="5"/>
  <c r="E78" i="5" s="1"/>
  <c r="E56" i="5"/>
  <c r="E55" i="5" s="1"/>
  <c r="S30" i="5"/>
  <c r="E425" i="5"/>
  <c r="E424" i="5" s="1"/>
  <c r="E461" i="5"/>
  <c r="E460" i="5" s="1"/>
  <c r="E145" i="5"/>
  <c r="E144" i="5" s="1"/>
  <c r="E129" i="5"/>
  <c r="E130" i="5" s="1"/>
  <c r="E315" i="5"/>
  <c r="E314" i="5" s="1"/>
  <c r="E263" i="5"/>
  <c r="E262" i="5" s="1"/>
  <c r="E484" i="5"/>
  <c r="E483" i="5" s="1"/>
  <c r="E453" i="5"/>
  <c r="E454" i="5" s="1"/>
  <c r="E322" i="5"/>
  <c r="E321" i="5" s="1"/>
  <c r="E299" i="5"/>
  <c r="E298" i="5" s="1"/>
  <c r="E64" i="5"/>
  <c r="E63" i="5" s="1"/>
  <c r="E160" i="5"/>
  <c r="E159" i="5" s="1"/>
  <c r="E372" i="5"/>
  <c r="E373" i="5" s="1"/>
  <c r="E388" i="5"/>
  <c r="E387" i="5" s="1"/>
  <c r="E153" i="5"/>
  <c r="E152" i="5" s="1"/>
  <c r="E291" i="5"/>
  <c r="E292" i="5" s="1"/>
  <c r="E307" i="5"/>
  <c r="E306" i="5" s="1"/>
  <c r="E380" i="5"/>
  <c r="E379" i="5" s="1"/>
  <c r="E506" i="5"/>
  <c r="E505" i="5" s="1"/>
  <c r="E137" i="5"/>
  <c r="E136" i="5" s="1"/>
  <c r="E396" i="5"/>
  <c r="E395" i="5" s="1"/>
  <c r="E182" i="5"/>
  <c r="E181" i="5" s="1"/>
  <c r="R2" i="5"/>
  <c r="E120" i="5" s="1"/>
  <c r="R80" i="11" s="1"/>
  <c r="E72" i="5"/>
  <c r="E71" i="5" s="1"/>
  <c r="E344" i="5"/>
  <c r="E343" i="5" s="1"/>
  <c r="E403" i="5"/>
  <c r="E402" i="5" s="1"/>
  <c r="E218" i="5"/>
  <c r="E217" i="5" s="1"/>
  <c r="E241" i="5"/>
  <c r="E240" i="5" s="1"/>
  <c r="B83" i="5"/>
  <c r="B319" i="5"/>
  <c r="D363" i="5"/>
  <c r="Q82" i="14" s="1"/>
  <c r="D45" i="5"/>
  <c r="D47" i="5"/>
  <c r="C429" i="5"/>
  <c r="D39" i="5"/>
  <c r="Q80" i="1" s="1"/>
  <c r="S501" i="5"/>
  <c r="D450" i="5"/>
  <c r="D452" i="5"/>
  <c r="B8" i="15" s="1"/>
  <c r="B23" i="16" s="1"/>
  <c r="S420" i="5"/>
  <c r="B348" i="5"/>
  <c r="B510" i="5"/>
  <c r="R28" i="5"/>
  <c r="U148" i="5"/>
  <c r="T181" i="5" s="1"/>
  <c r="R29" i="5"/>
  <c r="R27" i="5"/>
  <c r="U391" i="5"/>
  <c r="T427" i="5" s="1"/>
  <c r="U67" i="5"/>
  <c r="T103" i="5" s="1"/>
  <c r="U229" i="5"/>
  <c r="T258" i="5" s="1"/>
  <c r="U310" i="5"/>
  <c r="T345" i="5" s="1"/>
  <c r="U472" i="5"/>
  <c r="T502" i="5" s="1"/>
  <c r="P90" i="15"/>
  <c r="P112" i="16"/>
  <c r="P90" i="14"/>
  <c r="B76" i="5"/>
  <c r="P88" i="1"/>
  <c r="B481" i="5"/>
  <c r="P88" i="11"/>
  <c r="B105" i="5"/>
  <c r="P90" i="12"/>
  <c r="P90" i="13"/>
  <c r="S178" i="5"/>
  <c r="D444" i="5"/>
  <c r="Q82" i="15" s="1"/>
  <c r="D283" i="5"/>
  <c r="Q83" i="13" s="1"/>
  <c r="D203" i="5"/>
  <c r="Q86" i="12" s="1"/>
  <c r="B8" i="14"/>
  <c r="D201" i="5"/>
  <c r="Q82" i="12" s="1"/>
  <c r="Q106" i="16"/>
  <c r="S102" i="5"/>
  <c r="S96" i="5"/>
  <c r="B326" i="5"/>
  <c r="B238" i="5"/>
  <c r="D445" i="5"/>
  <c r="Q83" i="15" s="1"/>
  <c r="D282" i="5"/>
  <c r="Q82" i="13" s="1"/>
  <c r="S99" i="5"/>
  <c r="B186" i="5"/>
  <c r="S184" i="5"/>
  <c r="S169" i="5" s="1"/>
  <c r="S177" i="5"/>
  <c r="D38" i="5"/>
  <c r="D446" i="5"/>
  <c r="Q86" i="15" s="1"/>
  <c r="E118" i="5"/>
  <c r="E442" i="5"/>
  <c r="E280" i="5"/>
  <c r="E199" i="5"/>
  <c r="E361" i="5"/>
  <c r="B488" i="5"/>
  <c r="D122" i="5"/>
  <c r="Q84" i="11" s="1"/>
  <c r="B8" i="11"/>
  <c r="D41" i="5"/>
  <c r="Q84" i="1" s="1"/>
  <c r="B267" i="5"/>
  <c r="D128" i="5"/>
  <c r="D126" i="5"/>
  <c r="B164" i="5"/>
  <c r="S427" i="5"/>
  <c r="S426" i="5"/>
  <c r="S423" i="5"/>
  <c r="S181" i="5"/>
  <c r="T182" i="5"/>
  <c r="Y182" i="5"/>
  <c r="W182" i="5"/>
  <c r="AA182" i="5"/>
  <c r="Z182" i="5"/>
  <c r="AB182" i="5"/>
  <c r="U182" i="5"/>
  <c r="S182" i="5"/>
  <c r="X182" i="5"/>
  <c r="V182" i="5"/>
  <c r="S179" i="5"/>
  <c r="E429" i="5"/>
  <c r="S342" i="5"/>
  <c r="V344" i="5"/>
  <c r="Y344" i="5"/>
  <c r="S344" i="5"/>
  <c r="Z344" i="5"/>
  <c r="T344" i="5"/>
  <c r="U344" i="5"/>
  <c r="W344" i="5"/>
  <c r="AA344" i="5"/>
  <c r="X344" i="5"/>
  <c r="AB344" i="5"/>
  <c r="S260" i="5"/>
  <c r="S424" i="5"/>
  <c r="C503" i="5"/>
  <c r="C16" i="15" s="1"/>
  <c r="S505" i="5"/>
  <c r="S263" i="5"/>
  <c r="X263" i="5"/>
  <c r="AB263" i="5"/>
  <c r="T263" i="5"/>
  <c r="AA263" i="5"/>
  <c r="Y263" i="5"/>
  <c r="U263" i="5"/>
  <c r="V263" i="5"/>
  <c r="Z263" i="5"/>
  <c r="W263" i="5"/>
  <c r="AI8" i="5"/>
  <c r="S341" i="5"/>
  <c r="S504" i="5"/>
  <c r="C445" i="5"/>
  <c r="P83" i="15" s="1"/>
  <c r="C282" i="5"/>
  <c r="P82" i="13" s="1"/>
  <c r="C363" i="5"/>
  <c r="P82" i="14" s="1"/>
  <c r="C203" i="5"/>
  <c r="P86" i="12" s="1"/>
  <c r="C38" i="5"/>
  <c r="C118" i="5"/>
  <c r="C119" i="5" s="1"/>
  <c r="C446" i="5"/>
  <c r="P86" i="15" s="1"/>
  <c r="C41" i="5"/>
  <c r="P84" i="1" s="1"/>
  <c r="C40" i="5"/>
  <c r="P81" i="1" s="1"/>
  <c r="C283" i="5"/>
  <c r="P83" i="13" s="1"/>
  <c r="C201" i="5"/>
  <c r="P82" i="12" s="1"/>
  <c r="P106" i="16"/>
  <c r="C199" i="5"/>
  <c r="C442" i="5"/>
  <c r="C364" i="5"/>
  <c r="P83" i="14" s="1"/>
  <c r="C280" i="5"/>
  <c r="C361" i="5"/>
  <c r="P105" i="16"/>
  <c r="C202" i="5"/>
  <c r="P83" i="12" s="1"/>
  <c r="C120" i="5"/>
  <c r="P80" i="11" s="1"/>
  <c r="C365" i="5"/>
  <c r="P86" i="14" s="1"/>
  <c r="C122" i="5"/>
  <c r="P84" i="11" s="1"/>
  <c r="C284" i="5"/>
  <c r="P86" i="13" s="1"/>
  <c r="C121" i="5"/>
  <c r="P81" i="11" s="1"/>
  <c r="C39" i="5"/>
  <c r="P80" i="1" s="1"/>
  <c r="C444" i="5"/>
  <c r="P82" i="15" s="1"/>
  <c r="AJ7" i="5"/>
  <c r="AK6" i="5" s="1"/>
  <c r="S180" i="5"/>
  <c r="S343" i="5"/>
  <c r="S262" i="5"/>
  <c r="V474" i="5"/>
  <c r="U475" i="5"/>
  <c r="X152" i="5"/>
  <c r="X233" i="5"/>
  <c r="X395" i="5"/>
  <c r="V35" i="5"/>
  <c r="X476" i="5"/>
  <c r="X314" i="5"/>
  <c r="X71" i="5"/>
  <c r="S425" i="5"/>
  <c r="W425" i="5"/>
  <c r="T425" i="5"/>
  <c r="U425" i="5"/>
  <c r="X425" i="5"/>
  <c r="AA425" i="5"/>
  <c r="Y425" i="5"/>
  <c r="V425" i="5"/>
  <c r="AB425" i="5"/>
  <c r="Z425" i="5"/>
  <c r="Z506" i="5"/>
  <c r="AA506" i="5"/>
  <c r="AB506" i="5"/>
  <c r="Y506" i="5"/>
  <c r="S506" i="5"/>
  <c r="V506" i="5"/>
  <c r="T506" i="5"/>
  <c r="W506" i="5"/>
  <c r="U506" i="5"/>
  <c r="X506" i="5"/>
  <c r="S503" i="5"/>
  <c r="O69" i="15" s="1"/>
  <c r="S261" i="5"/>
  <c r="D256" i="5"/>
  <c r="D260" i="5" s="1"/>
  <c r="D16" i="12" s="1"/>
  <c r="E253" i="5"/>
  <c r="F94" i="5"/>
  <c r="G91" i="5"/>
  <c r="F97" i="5"/>
  <c r="C5" i="9"/>
  <c r="C5" i="8"/>
  <c r="C5" i="7"/>
  <c r="C5" i="4"/>
  <c r="C6" i="1"/>
  <c r="C5" i="10"/>
  <c r="X72" i="5"/>
  <c r="W104" i="5" s="1"/>
  <c r="W477" i="5"/>
  <c r="V509" i="5" s="1"/>
  <c r="X396" i="5"/>
  <c r="W428" i="5" s="1"/>
  <c r="X315" i="5"/>
  <c r="W347" i="5" s="1"/>
  <c r="W153" i="5"/>
  <c r="V185" i="5" s="1"/>
  <c r="W234" i="5"/>
  <c r="V266" i="5" s="1"/>
  <c r="D499" i="5"/>
  <c r="D502" i="5"/>
  <c r="E496" i="5"/>
  <c r="E179" i="5"/>
  <c r="E16" i="11" s="1"/>
  <c r="F175" i="5"/>
  <c r="F178" i="5"/>
  <c r="G172" i="5"/>
  <c r="F418" i="5"/>
  <c r="F421" i="5"/>
  <c r="G415" i="5"/>
  <c r="AA473" i="5"/>
  <c r="AA31" i="5"/>
  <c r="W231" i="5"/>
  <c r="X68" i="5"/>
  <c r="W70" i="5"/>
  <c r="V232" i="5"/>
  <c r="W230" i="5"/>
  <c r="Y392" i="5"/>
  <c r="X312" i="5"/>
  <c r="V393" i="5"/>
  <c r="U394" i="5"/>
  <c r="X311" i="5"/>
  <c r="W313" i="5"/>
  <c r="Y69" i="5"/>
  <c r="Z149" i="5"/>
  <c r="C105" i="5" l="1"/>
  <c r="O69" i="14"/>
  <c r="C17" i="14"/>
  <c r="C26" i="14" s="1"/>
  <c r="O76" i="1"/>
  <c r="B20" i="1" s="1"/>
  <c r="B36" i="16" s="1"/>
  <c r="S412" i="5"/>
  <c r="C9" i="13"/>
  <c r="C18" i="16" s="1"/>
  <c r="B14" i="1"/>
  <c r="B24" i="1" s="1"/>
  <c r="B13" i="11"/>
  <c r="B23" i="11" s="1"/>
  <c r="B17" i="14"/>
  <c r="B26" i="14" s="1"/>
  <c r="B17" i="13"/>
  <c r="B26" i="13" s="1"/>
  <c r="B10" i="13"/>
  <c r="B19" i="16" s="1"/>
  <c r="B9" i="12"/>
  <c r="B15" i="16" s="1"/>
  <c r="B9" i="11"/>
  <c r="B12" i="16" s="1"/>
  <c r="S86" i="5"/>
  <c r="B9" i="14"/>
  <c r="B21" i="16" s="1"/>
  <c r="R106" i="16"/>
  <c r="E397" i="5"/>
  <c r="D400" i="5" s="1"/>
  <c r="E80" i="5"/>
  <c r="D83" i="5" s="1"/>
  <c r="E219" i="5"/>
  <c r="E40" i="5"/>
  <c r="R81" i="1" s="1"/>
  <c r="S87" i="5"/>
  <c r="C76" i="5"/>
  <c r="B13" i="1" s="1"/>
  <c r="S493" i="5"/>
  <c r="C400" i="5"/>
  <c r="E345" i="5"/>
  <c r="D348" i="5" s="1"/>
  <c r="E300" i="5"/>
  <c r="E304" i="5" s="1"/>
  <c r="E340" i="5"/>
  <c r="E341" i="5" s="1"/>
  <c r="E16" i="13" s="1"/>
  <c r="F334" i="5"/>
  <c r="G334" i="5" s="1"/>
  <c r="E308" i="5"/>
  <c r="E312" i="5" s="1"/>
  <c r="E377" i="5"/>
  <c r="E53" i="5"/>
  <c r="E215" i="5"/>
  <c r="E458" i="5"/>
  <c r="E296" i="5"/>
  <c r="E365" i="5"/>
  <c r="R86" i="14" s="1"/>
  <c r="E470" i="5"/>
  <c r="D474" i="5"/>
  <c r="E134" i="5"/>
  <c r="E183" i="5"/>
  <c r="E389" i="5"/>
  <c r="D393" i="5"/>
  <c r="E138" i="5"/>
  <c r="E381" i="5"/>
  <c r="E485" i="5"/>
  <c r="E146" i="5"/>
  <c r="D150" i="5"/>
  <c r="E404" i="5"/>
  <c r="D407" i="5" s="1"/>
  <c r="E57" i="5"/>
  <c r="D61" i="5"/>
  <c r="O71" i="15"/>
  <c r="B51" i="15" s="1"/>
  <c r="E316" i="5"/>
  <c r="C319" i="5"/>
  <c r="E161" i="5"/>
  <c r="T423" i="5"/>
  <c r="D105" i="5"/>
  <c r="E235" i="5"/>
  <c r="E242" i="5"/>
  <c r="E462" i="5"/>
  <c r="D466" i="5"/>
  <c r="E323" i="5"/>
  <c r="D326" i="5" s="1"/>
  <c r="B14" i="13" s="1"/>
  <c r="B25" i="13" s="1"/>
  <c r="E478" i="5"/>
  <c r="C407" i="5"/>
  <c r="E65" i="5"/>
  <c r="D69" i="5"/>
  <c r="E507" i="5"/>
  <c r="E154" i="5"/>
  <c r="D157" i="5" s="1"/>
  <c r="E264" i="5"/>
  <c r="E227" i="5"/>
  <c r="D231" i="5"/>
  <c r="O79" i="1"/>
  <c r="S331" i="5"/>
  <c r="E422" i="5"/>
  <c r="E16" i="14" s="1"/>
  <c r="O68" i="14"/>
  <c r="S249" i="5"/>
  <c r="O68" i="1"/>
  <c r="B48" i="1" s="1"/>
  <c r="B18" i="16"/>
  <c r="O71" i="14"/>
  <c r="B51" i="14" s="1"/>
  <c r="B200" i="5"/>
  <c r="O81" i="12" s="1"/>
  <c r="O81" i="15"/>
  <c r="O71" i="13"/>
  <c r="B51" i="13" s="1"/>
  <c r="T504" i="5"/>
  <c r="T343" i="5"/>
  <c r="E41" i="5"/>
  <c r="R84" i="1" s="1"/>
  <c r="T339" i="5"/>
  <c r="W151" i="5"/>
  <c r="X150" i="5"/>
  <c r="T422" i="5"/>
  <c r="T424" i="5"/>
  <c r="T346" i="5"/>
  <c r="T331" i="5" s="1"/>
  <c r="R105" i="16"/>
  <c r="O68" i="12"/>
  <c r="Q79" i="1"/>
  <c r="T262" i="5"/>
  <c r="T505" i="5"/>
  <c r="T102" i="5"/>
  <c r="P69" i="1" s="1"/>
  <c r="C49" i="1" s="1"/>
  <c r="O69" i="11"/>
  <c r="B49" i="11" s="1"/>
  <c r="C31" i="16"/>
  <c r="O66" i="11"/>
  <c r="T179" i="5"/>
  <c r="Q81" i="12"/>
  <c r="T180" i="5"/>
  <c r="T168" i="5" s="1"/>
  <c r="O70" i="13"/>
  <c r="B50" i="13" s="1"/>
  <c r="O76" i="11"/>
  <c r="O68" i="13"/>
  <c r="T97" i="5"/>
  <c r="T177" i="5"/>
  <c r="V32" i="5"/>
  <c r="U33" i="5"/>
  <c r="T265" i="5"/>
  <c r="B11" i="16"/>
  <c r="T178" i="5"/>
  <c r="T421" i="5"/>
  <c r="T426" i="5"/>
  <c r="T412" i="5" s="1"/>
  <c r="T259" i="5"/>
  <c r="T260" i="5"/>
  <c r="T264" i="5"/>
  <c r="S410" i="5"/>
  <c r="O70" i="14"/>
  <c r="B50" i="14" s="1"/>
  <c r="S510" i="5"/>
  <c r="B20" i="16"/>
  <c r="O68" i="15"/>
  <c r="E281" i="5"/>
  <c r="R81" i="13" s="1"/>
  <c r="E288" i="5"/>
  <c r="E290" i="5"/>
  <c r="C8" i="13" s="1"/>
  <c r="E128" i="5"/>
  <c r="C8" i="11" s="1"/>
  <c r="E126" i="5"/>
  <c r="E443" i="5"/>
  <c r="R81" i="15" s="1"/>
  <c r="C8" i="12"/>
  <c r="T96" i="5"/>
  <c r="T98" i="5"/>
  <c r="T100" i="5"/>
  <c r="T99" i="5"/>
  <c r="F425" i="5"/>
  <c r="F424" i="5" s="1"/>
  <c r="F477" i="5"/>
  <c r="F476" i="5" s="1"/>
  <c r="F137" i="5"/>
  <c r="F136" i="5" s="1"/>
  <c r="F461" i="5"/>
  <c r="F460" i="5" s="1"/>
  <c r="F226" i="5"/>
  <c r="F225" i="5" s="1"/>
  <c r="F307" i="5"/>
  <c r="F306" i="5" s="1"/>
  <c r="F79" i="5"/>
  <c r="F78" i="5" s="1"/>
  <c r="F403" i="5"/>
  <c r="F402" i="5" s="1"/>
  <c r="T30" i="5"/>
  <c r="F299" i="5"/>
  <c r="F298" i="5" s="1"/>
  <c r="F388" i="5"/>
  <c r="F387" i="5" s="1"/>
  <c r="F72" i="5"/>
  <c r="F71" i="5" s="1"/>
  <c r="F129" i="5"/>
  <c r="F130" i="5" s="1"/>
  <c r="F380" i="5"/>
  <c r="F379" i="5" s="1"/>
  <c r="F101" i="5"/>
  <c r="F100" i="5" s="1"/>
  <c r="F210" i="5"/>
  <c r="F211" i="5" s="1"/>
  <c r="F241" i="5"/>
  <c r="F240" i="5" s="1"/>
  <c r="S2" i="5"/>
  <c r="F203" i="5" s="1"/>
  <c r="S86" i="12" s="1"/>
  <c r="F484" i="5"/>
  <c r="F483" i="5" s="1"/>
  <c r="F506" i="5"/>
  <c r="F505" i="5" s="1"/>
  <c r="F145" i="5"/>
  <c r="F144" i="5" s="1"/>
  <c r="F160" i="5"/>
  <c r="F159" i="5" s="1"/>
  <c r="F56" i="5"/>
  <c r="F55" i="5" s="1"/>
  <c r="F153" i="5"/>
  <c r="F152" i="5" s="1"/>
  <c r="E445" i="5"/>
  <c r="R83" i="15" s="1"/>
  <c r="F453" i="5"/>
  <c r="F454" i="5" s="1"/>
  <c r="F234" i="5"/>
  <c r="F233" i="5" s="1"/>
  <c r="F291" i="5"/>
  <c r="F292" i="5" s="1"/>
  <c r="E121" i="5"/>
  <c r="R81" i="11" s="1"/>
  <c r="E283" i="5"/>
  <c r="R83" i="13" s="1"/>
  <c r="F48" i="5"/>
  <c r="F49" i="5" s="1"/>
  <c r="F372" i="5"/>
  <c r="F373" i="5" s="1"/>
  <c r="F218" i="5"/>
  <c r="F217" i="5" s="1"/>
  <c r="F315" i="5"/>
  <c r="F314" i="5" s="1"/>
  <c r="F322" i="5"/>
  <c r="F321" i="5" s="1"/>
  <c r="F344" i="5"/>
  <c r="F343" i="5" s="1"/>
  <c r="F263" i="5"/>
  <c r="F262" i="5" s="1"/>
  <c r="F469" i="5"/>
  <c r="F468" i="5" s="1"/>
  <c r="E363" i="5"/>
  <c r="R82" i="14" s="1"/>
  <c r="F182" i="5"/>
  <c r="F181" i="5" s="1"/>
  <c r="F64" i="5"/>
  <c r="F63" i="5" s="1"/>
  <c r="E122" i="5"/>
  <c r="R84" i="11" s="1"/>
  <c r="F396" i="5"/>
  <c r="F395" i="5" s="1"/>
  <c r="E444" i="5"/>
  <c r="R82" i="15" s="1"/>
  <c r="S105" i="5"/>
  <c r="O66" i="1"/>
  <c r="B15" i="1" s="1"/>
  <c r="S168" i="5"/>
  <c r="E45" i="5"/>
  <c r="E47" i="5"/>
  <c r="C8" i="1" s="1"/>
  <c r="T503" i="5"/>
  <c r="P69" i="15" s="1"/>
  <c r="O70" i="15"/>
  <c r="B50" i="15" s="1"/>
  <c r="E201" i="5"/>
  <c r="R82" i="12" s="1"/>
  <c r="E200" i="5"/>
  <c r="Q78" i="12" s="1"/>
  <c r="E450" i="5"/>
  <c r="E452" i="5"/>
  <c r="C8" i="15" s="1"/>
  <c r="S330" i="5"/>
  <c r="S250" i="5"/>
  <c r="O71" i="12"/>
  <c r="B51" i="12" s="1"/>
  <c r="E364" i="5"/>
  <c r="R83" i="14" s="1"/>
  <c r="T420" i="5"/>
  <c r="E203" i="5"/>
  <c r="R86" i="12" s="1"/>
  <c r="O69" i="1"/>
  <c r="S88" i="5"/>
  <c r="T341" i="5"/>
  <c r="T261" i="5"/>
  <c r="E284" i="5"/>
  <c r="R86" i="13" s="1"/>
  <c r="E202" i="5"/>
  <c r="R83" i="12" s="1"/>
  <c r="T184" i="5"/>
  <c r="T183" i="5"/>
  <c r="E209" i="5"/>
  <c r="E207" i="5"/>
  <c r="E362" i="5"/>
  <c r="R81" i="14" s="1"/>
  <c r="T507" i="5"/>
  <c r="T501" i="5"/>
  <c r="T508" i="5"/>
  <c r="E39" i="5"/>
  <c r="R80" i="1" s="1"/>
  <c r="E446" i="5"/>
  <c r="R86" i="15" s="1"/>
  <c r="E282" i="5"/>
  <c r="R82" i="13" s="1"/>
  <c r="E371" i="5"/>
  <c r="C8" i="14" s="1"/>
  <c r="C20" i="16" s="1"/>
  <c r="E369" i="5"/>
  <c r="T340" i="5"/>
  <c r="T342" i="5"/>
  <c r="E38" i="5"/>
  <c r="Q76" i="1" s="1"/>
  <c r="E119" i="5"/>
  <c r="R79" i="11" s="1"/>
  <c r="S27" i="5"/>
  <c r="S29" i="5"/>
  <c r="V391" i="5"/>
  <c r="U424" i="5" s="1"/>
  <c r="V472" i="5"/>
  <c r="U508" i="5" s="1"/>
  <c r="S28" i="5"/>
  <c r="V229" i="5"/>
  <c r="V310" i="5"/>
  <c r="V148" i="5"/>
  <c r="V67" i="5"/>
  <c r="U98" i="5" s="1"/>
  <c r="S329" i="5"/>
  <c r="S348" i="5"/>
  <c r="O69" i="13"/>
  <c r="S429" i="5"/>
  <c r="AK7" i="5"/>
  <c r="AL6" i="5" s="1"/>
  <c r="C362" i="5"/>
  <c r="P81" i="14" s="1"/>
  <c r="P76" i="1"/>
  <c r="P79" i="1"/>
  <c r="S491" i="5"/>
  <c r="AJ8" i="5"/>
  <c r="C281" i="5"/>
  <c r="P81" i="13" s="1"/>
  <c r="E256" i="5"/>
  <c r="E259" i="5"/>
  <c r="F253" i="5"/>
  <c r="O70" i="12"/>
  <c r="B50" i="12" s="1"/>
  <c r="O67" i="11"/>
  <c r="S167" i="5"/>
  <c r="S186" i="5"/>
  <c r="Y476" i="5"/>
  <c r="Y152" i="5"/>
  <c r="Y71" i="5"/>
  <c r="Y233" i="5"/>
  <c r="Y314" i="5"/>
  <c r="W35" i="5"/>
  <c r="Y395" i="5"/>
  <c r="C443" i="5"/>
  <c r="P81" i="15" s="1"/>
  <c r="O69" i="12"/>
  <c r="S248" i="5"/>
  <c r="S267" i="5"/>
  <c r="C200" i="5"/>
  <c r="P81" i="12" s="1"/>
  <c r="Q78" i="13"/>
  <c r="O68" i="11"/>
  <c r="S411" i="5"/>
  <c r="V475" i="5"/>
  <c r="W474" i="5"/>
  <c r="S492" i="5"/>
  <c r="P76" i="11"/>
  <c r="P79" i="11"/>
  <c r="F337" i="5"/>
  <c r="F340" i="5"/>
  <c r="F98" i="5"/>
  <c r="F16" i="1" s="1"/>
  <c r="G97" i="5"/>
  <c r="G94" i="5"/>
  <c r="H91" i="5"/>
  <c r="C6" i="9"/>
  <c r="C6" i="4"/>
  <c r="C6" i="8"/>
  <c r="C6" i="7"/>
  <c r="D5" i="1"/>
  <c r="C6" i="10"/>
  <c r="Y315" i="5"/>
  <c r="Y72" i="5"/>
  <c r="X234" i="5"/>
  <c r="W266" i="5" s="1"/>
  <c r="X477" i="5"/>
  <c r="W509" i="5" s="1"/>
  <c r="X153" i="5"/>
  <c r="W185" i="5" s="1"/>
  <c r="Y396" i="5"/>
  <c r="G175" i="5"/>
  <c r="G178" i="5"/>
  <c r="H172" i="5"/>
  <c r="F179" i="5"/>
  <c r="F16" i="11" s="1"/>
  <c r="F496" i="5"/>
  <c r="E499" i="5"/>
  <c r="E502" i="5"/>
  <c r="H334" i="5"/>
  <c r="G337" i="5"/>
  <c r="G340" i="5"/>
  <c r="H415" i="5"/>
  <c r="G418" i="5"/>
  <c r="G421" i="5"/>
  <c r="F422" i="5"/>
  <c r="F16" i="14" s="1"/>
  <c r="D503" i="5"/>
  <c r="D16" i="15" s="1"/>
  <c r="X313" i="5"/>
  <c r="Y311" i="5"/>
  <c r="X70" i="5"/>
  <c r="Y68" i="5"/>
  <c r="Y312" i="5"/>
  <c r="AB473" i="5"/>
  <c r="W393" i="5"/>
  <c r="V394" i="5"/>
  <c r="AA149" i="5"/>
  <c r="X230" i="5"/>
  <c r="W232" i="5"/>
  <c r="X231" i="5"/>
  <c r="AB31" i="5"/>
  <c r="Z392" i="5"/>
  <c r="Z69" i="5"/>
  <c r="Q78" i="14" l="1"/>
  <c r="O78" i="13"/>
  <c r="B21" i="13" s="1"/>
  <c r="B45" i="16" s="1"/>
  <c r="O78" i="15"/>
  <c r="B21" i="15" s="1"/>
  <c r="B51" i="16" s="1"/>
  <c r="P69" i="12"/>
  <c r="Y104" i="5"/>
  <c r="AA104" i="5"/>
  <c r="AB104" i="5"/>
  <c r="Z104" i="5"/>
  <c r="X104" i="5"/>
  <c r="AA428" i="5"/>
  <c r="X428" i="5"/>
  <c r="AB428" i="5"/>
  <c r="Y428" i="5"/>
  <c r="Z428" i="5"/>
  <c r="Z347" i="5"/>
  <c r="AA347" i="5"/>
  <c r="X347" i="5"/>
  <c r="Y347" i="5"/>
  <c r="AB347" i="5"/>
  <c r="B15" i="14"/>
  <c r="P69" i="13"/>
  <c r="O78" i="14"/>
  <c r="B21" i="14" s="1"/>
  <c r="P67" i="11"/>
  <c r="P67" i="1"/>
  <c r="P68" i="15"/>
  <c r="C15" i="15" s="1"/>
  <c r="Q78" i="15"/>
  <c r="P69" i="14"/>
  <c r="Q76" i="11"/>
  <c r="P68" i="12"/>
  <c r="C15" i="12" s="1"/>
  <c r="B54" i="15"/>
  <c r="F219" i="5"/>
  <c r="F223" i="5" s="1"/>
  <c r="C17" i="16"/>
  <c r="B13" i="13"/>
  <c r="B24" i="13" s="1"/>
  <c r="B17" i="1"/>
  <c r="C10" i="13"/>
  <c r="C19" i="16" s="1"/>
  <c r="B14" i="14"/>
  <c r="B25" i="14" s="1"/>
  <c r="C10" i="14"/>
  <c r="C22" i="16" s="1"/>
  <c r="B10" i="14"/>
  <c r="C10" i="1"/>
  <c r="C10" i="16" s="1"/>
  <c r="B10" i="1"/>
  <c r="C9" i="1"/>
  <c r="C9" i="16" s="1"/>
  <c r="B10" i="15"/>
  <c r="B25" i="16" s="1"/>
  <c r="C17" i="13"/>
  <c r="C26" i="13" s="1"/>
  <c r="C9" i="15"/>
  <c r="C24" i="16" s="1"/>
  <c r="B13" i="14"/>
  <c r="B24" i="14" s="1"/>
  <c r="B10" i="12"/>
  <c r="B16" i="16" s="1"/>
  <c r="B10" i="11"/>
  <c r="B22" i="11" s="1"/>
  <c r="B41" i="16" s="1"/>
  <c r="B9" i="15"/>
  <c r="C14" i="13"/>
  <c r="C25" i="13" s="1"/>
  <c r="B11" i="13"/>
  <c r="B9" i="1"/>
  <c r="D8" i="12"/>
  <c r="D14" i="16" s="1"/>
  <c r="P78" i="15"/>
  <c r="C21" i="15" s="1"/>
  <c r="E223" i="5"/>
  <c r="P71" i="12"/>
  <c r="C51" i="12" s="1"/>
  <c r="B23" i="1"/>
  <c r="F345" i="5"/>
  <c r="E348" i="5" s="1"/>
  <c r="D8" i="13"/>
  <c r="S89" i="5"/>
  <c r="F73" i="5"/>
  <c r="E76" i="5" s="1"/>
  <c r="F215" i="5"/>
  <c r="F296" i="5"/>
  <c r="F53" i="5"/>
  <c r="F377" i="5"/>
  <c r="F462" i="5"/>
  <c r="E466" i="5"/>
  <c r="F485" i="5"/>
  <c r="E488" i="5"/>
  <c r="D488" i="5"/>
  <c r="F389" i="5"/>
  <c r="E393" i="5"/>
  <c r="F507" i="5"/>
  <c r="E510" i="5" s="1"/>
  <c r="D510" i="5"/>
  <c r="F242" i="5"/>
  <c r="E245" i="5" s="1"/>
  <c r="D245" i="5"/>
  <c r="F381" i="5"/>
  <c r="E385" i="5"/>
  <c r="F235" i="5"/>
  <c r="E238" i="5" s="1"/>
  <c r="D238" i="5"/>
  <c r="F183" i="5"/>
  <c r="D186" i="5"/>
  <c r="F134" i="5"/>
  <c r="F283" i="5"/>
  <c r="S83" i="13" s="1"/>
  <c r="F122" i="5"/>
  <c r="S84" i="11" s="1"/>
  <c r="T411" i="5"/>
  <c r="F478" i="5"/>
  <c r="E481" i="5" s="1"/>
  <c r="F161" i="5"/>
  <c r="E164" i="5" s="1"/>
  <c r="D164" i="5"/>
  <c r="F404" i="5"/>
  <c r="E407" i="5" s="1"/>
  <c r="F470" i="5"/>
  <c r="E474" i="5"/>
  <c r="C10" i="15" s="1"/>
  <c r="C25" i="16" s="1"/>
  <c r="F65" i="5"/>
  <c r="E69" i="5"/>
  <c r="F458" i="5"/>
  <c r="F57" i="5"/>
  <c r="E61" i="5"/>
  <c r="F444" i="5"/>
  <c r="S82" i="15" s="1"/>
  <c r="F227" i="5"/>
  <c r="E231" i="5"/>
  <c r="F308" i="5"/>
  <c r="F397" i="5"/>
  <c r="F264" i="5"/>
  <c r="E267" i="5" s="1"/>
  <c r="D267" i="5"/>
  <c r="F323" i="5"/>
  <c r="E326" i="5" s="1"/>
  <c r="F316" i="5"/>
  <c r="E319" i="5" s="1"/>
  <c r="D319" i="5"/>
  <c r="F102" i="5"/>
  <c r="U422" i="5"/>
  <c r="F40" i="5"/>
  <c r="S81" i="1" s="1"/>
  <c r="F300" i="5"/>
  <c r="F138" i="5"/>
  <c r="E142" i="5"/>
  <c r="S106" i="16"/>
  <c r="F281" i="5"/>
  <c r="R78" i="13" s="1"/>
  <c r="T492" i="5"/>
  <c r="F154" i="5"/>
  <c r="E157" i="5" s="1"/>
  <c r="C13" i="11" s="1"/>
  <c r="C23" i="11" s="1"/>
  <c r="F146" i="5"/>
  <c r="E150" i="5"/>
  <c r="F80" i="5"/>
  <c r="D481" i="5"/>
  <c r="P70" i="13"/>
  <c r="C50" i="13" s="1"/>
  <c r="P78" i="13"/>
  <c r="C22" i="13" s="1"/>
  <c r="P70" i="15"/>
  <c r="C50" i="15" s="1"/>
  <c r="P71" i="13"/>
  <c r="C51" i="13" s="1"/>
  <c r="P78" i="12"/>
  <c r="P68" i="11"/>
  <c r="C48" i="11" s="1"/>
  <c r="B54" i="13"/>
  <c r="B54" i="14"/>
  <c r="T167" i="5"/>
  <c r="B15" i="12"/>
  <c r="T329" i="5"/>
  <c r="T330" i="5"/>
  <c r="S413" i="5"/>
  <c r="O78" i="12"/>
  <c r="T88" i="5"/>
  <c r="B54" i="12"/>
  <c r="B21" i="11"/>
  <c r="B40" i="16" s="1"/>
  <c r="P68" i="14"/>
  <c r="U503" i="5"/>
  <c r="P78" i="14"/>
  <c r="C21" i="14" s="1"/>
  <c r="X151" i="5"/>
  <c r="Y150" i="5"/>
  <c r="P70" i="14"/>
  <c r="C50" i="14" s="1"/>
  <c r="T491" i="5"/>
  <c r="O72" i="13"/>
  <c r="U420" i="5"/>
  <c r="U427" i="5"/>
  <c r="O72" i="14"/>
  <c r="B20" i="11"/>
  <c r="B39" i="16" s="1"/>
  <c r="O72" i="15"/>
  <c r="P66" i="11"/>
  <c r="S332" i="5"/>
  <c r="F341" i="5"/>
  <c r="F16" i="13" s="1"/>
  <c r="S170" i="5"/>
  <c r="T510" i="5"/>
  <c r="U99" i="5"/>
  <c r="U100" i="5"/>
  <c r="O70" i="1"/>
  <c r="U97" i="5"/>
  <c r="Q67" i="1" s="1"/>
  <c r="T186" i="5"/>
  <c r="T250" i="5"/>
  <c r="W32" i="5"/>
  <c r="V33" i="5"/>
  <c r="T248" i="5"/>
  <c r="T429" i="5"/>
  <c r="P71" i="14"/>
  <c r="C51" i="14" s="1"/>
  <c r="T410" i="5"/>
  <c r="T267" i="5"/>
  <c r="C14" i="16"/>
  <c r="U261" i="5"/>
  <c r="U258" i="5"/>
  <c r="U260" i="5"/>
  <c r="U264" i="5"/>
  <c r="U259" i="5"/>
  <c r="U262" i="5"/>
  <c r="U265" i="5"/>
  <c r="R81" i="12"/>
  <c r="T87" i="5"/>
  <c r="P68" i="1"/>
  <c r="B15" i="15"/>
  <c r="T105" i="5"/>
  <c r="O118" i="16"/>
  <c r="C14" i="19" s="1"/>
  <c r="U505" i="5"/>
  <c r="U504" i="5"/>
  <c r="U501" i="5"/>
  <c r="F365" i="5"/>
  <c r="S86" i="14" s="1"/>
  <c r="B49" i="1"/>
  <c r="O120" i="16"/>
  <c r="C20" i="19" s="1"/>
  <c r="F369" i="5"/>
  <c r="F371" i="5"/>
  <c r="D8" i="14" s="1"/>
  <c r="D20" i="16" s="1"/>
  <c r="W229" i="5"/>
  <c r="V259" i="5" s="1"/>
  <c r="W472" i="5"/>
  <c r="V502" i="5" s="1"/>
  <c r="T27" i="5"/>
  <c r="W391" i="5"/>
  <c r="V423" i="5" s="1"/>
  <c r="W310" i="5"/>
  <c r="V340" i="5" s="1"/>
  <c r="T28" i="5"/>
  <c r="T29" i="5"/>
  <c r="W148" i="5"/>
  <c r="W67" i="5"/>
  <c r="V103" i="5" s="1"/>
  <c r="O117" i="16"/>
  <c r="C13" i="19" s="1"/>
  <c r="U426" i="5"/>
  <c r="U423" i="5"/>
  <c r="U421" i="5"/>
  <c r="F45" i="5"/>
  <c r="F47" i="5"/>
  <c r="D8" i="1" s="1"/>
  <c r="D8" i="16" s="1"/>
  <c r="T86" i="5"/>
  <c r="P66" i="1"/>
  <c r="U346" i="5"/>
  <c r="U341" i="5"/>
  <c r="U343" i="5"/>
  <c r="U340" i="5"/>
  <c r="U339" i="5"/>
  <c r="S494" i="5"/>
  <c r="T169" i="5"/>
  <c r="P69" i="11"/>
  <c r="C23" i="16"/>
  <c r="B15" i="13"/>
  <c r="S251" i="5"/>
  <c r="C11" i="16"/>
  <c r="F450" i="5"/>
  <c r="F452" i="5"/>
  <c r="D8" i="15" s="1"/>
  <c r="P68" i="13"/>
  <c r="C15" i="13" s="1"/>
  <c r="C8" i="16"/>
  <c r="U342" i="5"/>
  <c r="T348" i="5"/>
  <c r="G315" i="5"/>
  <c r="G314" i="5" s="1"/>
  <c r="G453" i="5"/>
  <c r="G454" i="5" s="1"/>
  <c r="G226" i="5"/>
  <c r="G225" i="5" s="1"/>
  <c r="G48" i="5"/>
  <c r="G49" i="5" s="1"/>
  <c r="G380" i="5"/>
  <c r="G379" i="5" s="1"/>
  <c r="G469" i="5"/>
  <c r="G468" i="5" s="1"/>
  <c r="G137" i="5"/>
  <c r="G136" i="5" s="1"/>
  <c r="G182" i="5"/>
  <c r="G181" i="5" s="1"/>
  <c r="T2" i="5"/>
  <c r="G119" i="5" s="1"/>
  <c r="F445" i="5"/>
  <c r="S83" i="15" s="1"/>
  <c r="F121" i="5"/>
  <c r="S81" i="11" s="1"/>
  <c r="G160" i="5"/>
  <c r="G159" i="5" s="1"/>
  <c r="G234" i="5"/>
  <c r="G233" i="5" s="1"/>
  <c r="G218" i="5"/>
  <c r="G217" i="5" s="1"/>
  <c r="G79" i="5"/>
  <c r="G78" i="5" s="1"/>
  <c r="G344" i="5"/>
  <c r="G343" i="5" s="1"/>
  <c r="G461" i="5"/>
  <c r="G460" i="5" s="1"/>
  <c r="G129" i="5"/>
  <c r="G130" i="5" s="1"/>
  <c r="G484" i="5"/>
  <c r="G483" i="5" s="1"/>
  <c r="F443" i="5"/>
  <c r="R78" i="15" s="1"/>
  <c r="G101" i="5"/>
  <c r="G100" i="5" s="1"/>
  <c r="G145" i="5"/>
  <c r="G144" i="5" s="1"/>
  <c r="G388" i="5"/>
  <c r="G387" i="5" s="1"/>
  <c r="F38" i="5"/>
  <c r="R76" i="1" s="1"/>
  <c r="G72" i="5"/>
  <c r="G71" i="5" s="1"/>
  <c r="G506" i="5"/>
  <c r="G505" i="5" s="1"/>
  <c r="G291" i="5"/>
  <c r="G292" i="5" s="1"/>
  <c r="G56" i="5"/>
  <c r="G55" i="5" s="1"/>
  <c r="F202" i="5"/>
  <c r="S83" i="12" s="1"/>
  <c r="F119" i="5"/>
  <c r="R76" i="11" s="1"/>
  <c r="G403" i="5"/>
  <c r="G402" i="5" s="1"/>
  <c r="F41" i="5"/>
  <c r="S84" i="1" s="1"/>
  <c r="G396" i="5"/>
  <c r="G395" i="5" s="1"/>
  <c r="G425" i="5"/>
  <c r="G424" i="5" s="1"/>
  <c r="U30" i="5"/>
  <c r="F200" i="5"/>
  <c r="R78" i="12" s="1"/>
  <c r="G241" i="5"/>
  <c r="G240" i="5" s="1"/>
  <c r="F201" i="5"/>
  <c r="S82" i="12" s="1"/>
  <c r="G64" i="5"/>
  <c r="G63" i="5" s="1"/>
  <c r="F120" i="5"/>
  <c r="S80" i="11" s="1"/>
  <c r="F362" i="5"/>
  <c r="R78" i="14" s="1"/>
  <c r="G299" i="5"/>
  <c r="G298" i="5" s="1"/>
  <c r="F39" i="5"/>
  <c r="S80" i="1" s="1"/>
  <c r="F363" i="5"/>
  <c r="S82" i="14" s="1"/>
  <c r="G210" i="5"/>
  <c r="G211" i="5" s="1"/>
  <c r="F284" i="5"/>
  <c r="S86" i="13" s="1"/>
  <c r="G153" i="5"/>
  <c r="G152" i="5" s="1"/>
  <c r="G322" i="5"/>
  <c r="G321" i="5" s="1"/>
  <c r="G307" i="5"/>
  <c r="G306" i="5" s="1"/>
  <c r="G372" i="5"/>
  <c r="G373" i="5" s="1"/>
  <c r="G477" i="5"/>
  <c r="G476" i="5" s="1"/>
  <c r="F446" i="5"/>
  <c r="S86" i="15" s="1"/>
  <c r="G263" i="5"/>
  <c r="G262" i="5" s="1"/>
  <c r="S105" i="16"/>
  <c r="F290" i="5"/>
  <c r="F288" i="5"/>
  <c r="F207" i="5"/>
  <c r="F209" i="5"/>
  <c r="R79" i="1"/>
  <c r="U502" i="5"/>
  <c r="F364" i="5"/>
  <c r="S83" i="14" s="1"/>
  <c r="O72" i="12"/>
  <c r="P70" i="12"/>
  <c r="C50" i="12" s="1"/>
  <c r="U96" i="5"/>
  <c r="U103" i="5"/>
  <c r="U102" i="5"/>
  <c r="G201" i="5"/>
  <c r="T82" i="12" s="1"/>
  <c r="U345" i="5"/>
  <c r="U507" i="5"/>
  <c r="F282" i="5"/>
  <c r="S82" i="13" s="1"/>
  <c r="T249" i="5"/>
  <c r="U184" i="5"/>
  <c r="U181" i="5"/>
  <c r="U183" i="5"/>
  <c r="U180" i="5"/>
  <c r="U177" i="5"/>
  <c r="U178" i="5"/>
  <c r="U179" i="5"/>
  <c r="P71" i="15"/>
  <c r="C51" i="15" s="1"/>
  <c r="T493" i="5"/>
  <c r="F126" i="5"/>
  <c r="F128" i="5"/>
  <c r="D8" i="11"/>
  <c r="Z476" i="5"/>
  <c r="Z314" i="5"/>
  <c r="Z233" i="5"/>
  <c r="Z395" i="5"/>
  <c r="X35" i="5"/>
  <c r="Z71" i="5"/>
  <c r="Z152" i="5"/>
  <c r="F259" i="5"/>
  <c r="G253" i="5"/>
  <c r="F256" i="5"/>
  <c r="F429" i="5"/>
  <c r="C20" i="11"/>
  <c r="E260" i="5"/>
  <c r="E16" i="12" s="1"/>
  <c r="AL7" i="5"/>
  <c r="AM6" i="5" s="1"/>
  <c r="C20" i="1"/>
  <c r="X474" i="5"/>
  <c r="W475" i="5"/>
  <c r="B15" i="11"/>
  <c r="B48" i="11"/>
  <c r="B79" i="16" s="1"/>
  <c r="O119" i="16"/>
  <c r="O70" i="11"/>
  <c r="V503" i="5"/>
  <c r="AK8" i="5"/>
  <c r="G98" i="5"/>
  <c r="G16" i="1" s="1"/>
  <c r="G179" i="5"/>
  <c r="G16" i="11" s="1"/>
  <c r="H94" i="5"/>
  <c r="H97" i="5"/>
  <c r="I91" i="5"/>
  <c r="D5" i="4"/>
  <c r="D5" i="9"/>
  <c r="D6" i="1"/>
  <c r="D5" i="7"/>
  <c r="D5" i="10"/>
  <c r="D5" i="8"/>
  <c r="Y477" i="5"/>
  <c r="Z396" i="5"/>
  <c r="Y153" i="5"/>
  <c r="Z72" i="5"/>
  <c r="Z315" i="5"/>
  <c r="Y234" i="5"/>
  <c r="I415" i="5"/>
  <c r="H418" i="5"/>
  <c r="H421" i="5"/>
  <c r="D31" i="16"/>
  <c r="H175" i="5"/>
  <c r="I172" i="5"/>
  <c r="H178" i="5"/>
  <c r="G496" i="5"/>
  <c r="F499" i="5"/>
  <c r="F502" i="5"/>
  <c r="G422" i="5"/>
  <c r="G16" i="14" s="1"/>
  <c r="G341" i="5"/>
  <c r="G16" i="13" s="1"/>
  <c r="I334" i="5"/>
  <c r="H337" i="5"/>
  <c r="H340" i="5"/>
  <c r="E503" i="5"/>
  <c r="E16" i="15" s="1"/>
  <c r="AA69" i="5"/>
  <c r="AB149" i="5"/>
  <c r="Z68" i="5"/>
  <c r="Y70" i="5"/>
  <c r="AC31" i="5"/>
  <c r="X393" i="5"/>
  <c r="W394" i="5"/>
  <c r="Y230" i="5"/>
  <c r="X232" i="5"/>
  <c r="AC473" i="5"/>
  <c r="Y231" i="5"/>
  <c r="Y313" i="5"/>
  <c r="Z311" i="5"/>
  <c r="AA392" i="5"/>
  <c r="Z312" i="5"/>
  <c r="D21" i="15" l="1"/>
  <c r="D51" i="16" s="1"/>
  <c r="B22" i="15"/>
  <c r="B52" i="16" s="1"/>
  <c r="B23" i="13"/>
  <c r="B47" i="16" s="1"/>
  <c r="B22" i="14"/>
  <c r="B49" i="16" s="1"/>
  <c r="B22" i="13"/>
  <c r="B46" i="16" s="1"/>
  <c r="B23" i="14"/>
  <c r="B50" i="16" s="1"/>
  <c r="X185" i="5"/>
  <c r="Y185" i="5"/>
  <c r="AB185" i="5"/>
  <c r="AA185" i="5"/>
  <c r="Z185" i="5"/>
  <c r="Z266" i="5"/>
  <c r="AA266" i="5"/>
  <c r="AB266" i="5"/>
  <c r="X266" i="5"/>
  <c r="Y266" i="5"/>
  <c r="X509" i="5"/>
  <c r="AA509" i="5"/>
  <c r="AB509" i="5"/>
  <c r="Z509" i="5"/>
  <c r="Y509" i="5"/>
  <c r="P118" i="16"/>
  <c r="D14" i="19" s="1"/>
  <c r="Q69" i="14"/>
  <c r="Q67" i="11"/>
  <c r="C15" i="14"/>
  <c r="Q69" i="12"/>
  <c r="C21" i="1"/>
  <c r="C37" i="16" s="1"/>
  <c r="Q69" i="13"/>
  <c r="Q69" i="15"/>
  <c r="C54" i="12"/>
  <c r="B23" i="15"/>
  <c r="B53" i="16" s="1"/>
  <c r="B19" i="14"/>
  <c r="B19" i="13"/>
  <c r="C22" i="1"/>
  <c r="C38" i="16" s="1"/>
  <c r="C14" i="15"/>
  <c r="C25" i="15" s="1"/>
  <c r="B14" i="15"/>
  <c r="B25" i="15" s="1"/>
  <c r="C9" i="14"/>
  <c r="B9" i="16"/>
  <c r="B21" i="1"/>
  <c r="B37" i="16" s="1"/>
  <c r="B11" i="1"/>
  <c r="C14" i="11"/>
  <c r="C24" i="11" s="1"/>
  <c r="B14" i="11"/>
  <c r="B25" i="1"/>
  <c r="C14" i="12"/>
  <c r="C25" i="12" s="1"/>
  <c r="B14" i="12"/>
  <c r="B25" i="12" s="1"/>
  <c r="C11" i="15"/>
  <c r="B24" i="16"/>
  <c r="B11" i="15"/>
  <c r="B13" i="16"/>
  <c r="B11" i="11"/>
  <c r="B10" i="16"/>
  <c r="B22" i="1"/>
  <c r="B38" i="16" s="1"/>
  <c r="C9" i="11"/>
  <c r="D14" i="15"/>
  <c r="D25" i="15" s="1"/>
  <c r="D10" i="12"/>
  <c r="D16" i="16" s="1"/>
  <c r="C13" i="15"/>
  <c r="C24" i="15" s="1"/>
  <c r="B13" i="15"/>
  <c r="B24" i="15" s="1"/>
  <c r="B18" i="1"/>
  <c r="B11" i="12"/>
  <c r="C54" i="15"/>
  <c r="C11" i="1"/>
  <c r="C13" i="13"/>
  <c r="C24" i="13" s="1"/>
  <c r="C17" i="15"/>
  <c r="C26" i="15" s="1"/>
  <c r="B17" i="15"/>
  <c r="B26" i="15" s="1"/>
  <c r="C10" i="11"/>
  <c r="D9" i="12"/>
  <c r="C9" i="12"/>
  <c r="C22" i="12" s="1"/>
  <c r="C43" i="16" s="1"/>
  <c r="C10" i="12"/>
  <c r="C16" i="16" s="1"/>
  <c r="C17" i="12"/>
  <c r="C26" i="12" s="1"/>
  <c r="B17" i="12"/>
  <c r="B26" i="12" s="1"/>
  <c r="D10" i="1"/>
  <c r="D10" i="16" s="1"/>
  <c r="C17" i="11"/>
  <c r="C25" i="11" s="1"/>
  <c r="B17" i="11"/>
  <c r="B25" i="11" s="1"/>
  <c r="D10" i="14"/>
  <c r="D22" i="16" s="1"/>
  <c r="C11" i="13"/>
  <c r="C13" i="12"/>
  <c r="C24" i="12" s="1"/>
  <c r="B13" i="12"/>
  <c r="D13" i="13"/>
  <c r="D24" i="13" s="1"/>
  <c r="B22" i="16"/>
  <c r="B11" i="14"/>
  <c r="C13" i="1"/>
  <c r="C23" i="1" s="1"/>
  <c r="C14" i="14"/>
  <c r="C25" i="14" s="1"/>
  <c r="D17" i="14"/>
  <c r="D26" i="14" s="1"/>
  <c r="D20" i="1"/>
  <c r="D36" i="16" s="1"/>
  <c r="D21" i="14"/>
  <c r="D48" i="16" s="1"/>
  <c r="D21" i="12"/>
  <c r="D42" i="16" s="1"/>
  <c r="C22" i="15"/>
  <c r="C52" i="16" s="1"/>
  <c r="C23" i="15"/>
  <c r="C53" i="16" s="1"/>
  <c r="C21" i="13"/>
  <c r="C45" i="16" s="1"/>
  <c r="D23" i="16"/>
  <c r="D17" i="16"/>
  <c r="G40" i="5"/>
  <c r="T81" i="1" s="1"/>
  <c r="D21" i="13"/>
  <c r="D45" i="16" s="1"/>
  <c r="S81" i="13"/>
  <c r="G283" i="5"/>
  <c r="T83" i="13" s="1"/>
  <c r="G219" i="5"/>
  <c r="G223" i="5" s="1"/>
  <c r="G215" i="5"/>
  <c r="G134" i="5"/>
  <c r="G53" i="5"/>
  <c r="G296" i="5"/>
  <c r="G377" i="5"/>
  <c r="G458" i="5"/>
  <c r="G183" i="5"/>
  <c r="F186" i="5" s="1"/>
  <c r="G80" i="5"/>
  <c r="F83" i="5" s="1"/>
  <c r="E83" i="5"/>
  <c r="G138" i="5"/>
  <c r="F142" i="5"/>
  <c r="D9" i="11" s="1"/>
  <c r="G323" i="5"/>
  <c r="F326" i="5" s="1"/>
  <c r="G478" i="5"/>
  <c r="F481" i="5" s="1"/>
  <c r="D13" i="15" s="1"/>
  <c r="D24" i="15" s="1"/>
  <c r="G300" i="5"/>
  <c r="F304" i="5"/>
  <c r="G345" i="5"/>
  <c r="G154" i="5"/>
  <c r="F157" i="5" s="1"/>
  <c r="G397" i="5"/>
  <c r="E400" i="5"/>
  <c r="G381" i="5"/>
  <c r="F385" i="5"/>
  <c r="G389" i="5"/>
  <c r="F393" i="5"/>
  <c r="G308" i="5"/>
  <c r="F312" i="5"/>
  <c r="G470" i="5"/>
  <c r="F474" i="5"/>
  <c r="G146" i="5"/>
  <c r="F150" i="5"/>
  <c r="D10" i="11" s="1"/>
  <c r="G264" i="5"/>
  <c r="B48" i="16"/>
  <c r="T413" i="5"/>
  <c r="G102" i="5"/>
  <c r="F105" i="5" s="1"/>
  <c r="E105" i="5"/>
  <c r="G227" i="5"/>
  <c r="F231" i="5"/>
  <c r="G57" i="5"/>
  <c r="F61" i="5"/>
  <c r="G404" i="5"/>
  <c r="F407" i="5" s="1"/>
  <c r="G242" i="5"/>
  <c r="F245" i="5" s="1"/>
  <c r="D14" i="12" s="1"/>
  <c r="D25" i="12" s="1"/>
  <c r="G485" i="5"/>
  <c r="F488" i="5" s="1"/>
  <c r="G73" i="5"/>
  <c r="G235" i="5"/>
  <c r="F238" i="5" s="1"/>
  <c r="G462" i="5"/>
  <c r="F466" i="5"/>
  <c r="G65" i="5"/>
  <c r="F69" i="5"/>
  <c r="G316" i="5"/>
  <c r="F319" i="5" s="1"/>
  <c r="G161" i="5"/>
  <c r="F164" i="5" s="1"/>
  <c r="D14" i="11" s="1"/>
  <c r="D24" i="11" s="1"/>
  <c r="E186" i="5"/>
  <c r="D17" i="11" s="1"/>
  <c r="D25" i="11" s="1"/>
  <c r="G507" i="5"/>
  <c r="F510" i="5" s="1"/>
  <c r="T170" i="5"/>
  <c r="C23" i="13"/>
  <c r="C21" i="12"/>
  <c r="T332" i="5"/>
  <c r="C15" i="19"/>
  <c r="T494" i="5"/>
  <c r="B22" i="12"/>
  <c r="B43" i="16" s="1"/>
  <c r="B23" i="12"/>
  <c r="B44" i="16" s="1"/>
  <c r="B21" i="12"/>
  <c r="V260" i="5"/>
  <c r="R69" i="12" s="1"/>
  <c r="V262" i="5"/>
  <c r="C23" i="14"/>
  <c r="C50" i="16" s="1"/>
  <c r="V258" i="5"/>
  <c r="Z150" i="5"/>
  <c r="Y151" i="5"/>
  <c r="U410" i="5"/>
  <c r="C54" i="14"/>
  <c r="P70" i="11"/>
  <c r="T251" i="5"/>
  <c r="G122" i="5"/>
  <c r="T84" i="11" s="1"/>
  <c r="F260" i="5"/>
  <c r="F16" i="12" s="1"/>
  <c r="V102" i="5"/>
  <c r="R69" i="1" s="1"/>
  <c r="E49" i="1" s="1"/>
  <c r="G202" i="5"/>
  <c r="T83" i="12" s="1"/>
  <c r="Q68" i="15"/>
  <c r="C15" i="11"/>
  <c r="G39" i="5"/>
  <c r="T80" i="1" s="1"/>
  <c r="G41" i="5"/>
  <c r="T84" i="1" s="1"/>
  <c r="G38" i="5"/>
  <c r="S76" i="1" s="1"/>
  <c r="Q68" i="1"/>
  <c r="D48" i="1" s="1"/>
  <c r="V341" i="5"/>
  <c r="R69" i="13" s="1"/>
  <c r="G364" i="5"/>
  <c r="T83" i="14" s="1"/>
  <c r="G284" i="5"/>
  <c r="T86" i="13" s="1"/>
  <c r="V96" i="5"/>
  <c r="G200" i="5"/>
  <c r="S78" i="12" s="1"/>
  <c r="G365" i="5"/>
  <c r="T86" i="14" s="1"/>
  <c r="G282" i="5"/>
  <c r="T82" i="13" s="1"/>
  <c r="U87" i="5"/>
  <c r="P72" i="14"/>
  <c r="U429" i="5"/>
  <c r="P72" i="12"/>
  <c r="T89" i="5"/>
  <c r="X32" i="5"/>
  <c r="W33" i="5"/>
  <c r="U491" i="5"/>
  <c r="V345" i="5"/>
  <c r="V339" i="5"/>
  <c r="Q68" i="14"/>
  <c r="P72" i="13"/>
  <c r="G371" i="5"/>
  <c r="E8" i="14" s="1"/>
  <c r="E21" i="14" s="1"/>
  <c r="E48" i="16" s="1"/>
  <c r="G369" i="5"/>
  <c r="S81" i="14"/>
  <c r="S79" i="11"/>
  <c r="S76" i="11"/>
  <c r="B80" i="16"/>
  <c r="B83" i="16" s="1"/>
  <c r="B52" i="1"/>
  <c r="Q69" i="1"/>
  <c r="U88" i="5"/>
  <c r="U330" i="5"/>
  <c r="Q70" i="13"/>
  <c r="D50" i="13" s="1"/>
  <c r="C15" i="1"/>
  <c r="P70" i="1"/>
  <c r="P117" i="16"/>
  <c r="D13" i="19" s="1"/>
  <c r="D15" i="19" s="1"/>
  <c r="Q69" i="11"/>
  <c r="D49" i="11" s="1"/>
  <c r="U169" i="5"/>
  <c r="C48" i="1"/>
  <c r="C52" i="1" s="1"/>
  <c r="P119" i="16"/>
  <c r="D19" i="19" s="1"/>
  <c r="T106" i="16"/>
  <c r="H322" i="5"/>
  <c r="H321" i="5" s="1"/>
  <c r="H160" i="5"/>
  <c r="H159" i="5" s="1"/>
  <c r="H484" i="5"/>
  <c r="H483" i="5" s="1"/>
  <c r="H477" i="5"/>
  <c r="H476" i="5" s="1"/>
  <c r="H263" i="5"/>
  <c r="H262" i="5" s="1"/>
  <c r="H380" i="5"/>
  <c r="H379" i="5" s="1"/>
  <c r="H315" i="5"/>
  <c r="H314" i="5" s="1"/>
  <c r="H299" i="5"/>
  <c r="H298" i="5" s="1"/>
  <c r="H153" i="5"/>
  <c r="H152" i="5" s="1"/>
  <c r="V30" i="5"/>
  <c r="H241" i="5"/>
  <c r="H240" i="5" s="1"/>
  <c r="H226" i="5"/>
  <c r="H225" i="5" s="1"/>
  <c r="H145" i="5"/>
  <c r="H144" i="5" s="1"/>
  <c r="H234" i="5"/>
  <c r="H233" i="5" s="1"/>
  <c r="G443" i="5"/>
  <c r="S78" i="15" s="1"/>
  <c r="G121" i="5"/>
  <c r="T81" i="11" s="1"/>
  <c r="H48" i="5"/>
  <c r="H49" i="5" s="1"/>
  <c r="G445" i="5"/>
  <c r="T83" i="15" s="1"/>
  <c r="G444" i="5"/>
  <c r="T82" i="15" s="1"/>
  <c r="H388" i="5"/>
  <c r="H387" i="5" s="1"/>
  <c r="G120" i="5"/>
  <c r="T80" i="11" s="1"/>
  <c r="G362" i="5"/>
  <c r="S78" i="14" s="1"/>
  <c r="H72" i="5"/>
  <c r="H71" i="5" s="1"/>
  <c r="H453" i="5"/>
  <c r="H454" i="5" s="1"/>
  <c r="G363" i="5"/>
  <c r="T82" i="14" s="1"/>
  <c r="H396" i="5"/>
  <c r="H395" i="5" s="1"/>
  <c r="H218" i="5"/>
  <c r="H217" i="5" s="1"/>
  <c r="H425" i="5"/>
  <c r="H424" i="5" s="1"/>
  <c r="T105" i="16"/>
  <c r="H129" i="5"/>
  <c r="H130" i="5" s="1"/>
  <c r="H403" i="5"/>
  <c r="H402" i="5" s="1"/>
  <c r="H56" i="5"/>
  <c r="H55" i="5" s="1"/>
  <c r="G446" i="5"/>
  <c r="T86" i="15" s="1"/>
  <c r="H210" i="5"/>
  <c r="H211" i="5" s="1"/>
  <c r="H344" i="5"/>
  <c r="H343" i="5" s="1"/>
  <c r="H307" i="5"/>
  <c r="H306" i="5" s="1"/>
  <c r="H291" i="5"/>
  <c r="H292" i="5" s="1"/>
  <c r="H101" i="5"/>
  <c r="H100" i="5" s="1"/>
  <c r="H64" i="5"/>
  <c r="H63" i="5" s="1"/>
  <c r="H461" i="5"/>
  <c r="H460" i="5" s="1"/>
  <c r="H182" i="5"/>
  <c r="H181" i="5" s="1"/>
  <c r="G203" i="5"/>
  <c r="T86" i="12" s="1"/>
  <c r="H469" i="5"/>
  <c r="H468" i="5" s="1"/>
  <c r="H79" i="5"/>
  <c r="H78" i="5" s="1"/>
  <c r="H506" i="5"/>
  <c r="H505" i="5" s="1"/>
  <c r="U2" i="5"/>
  <c r="H137" i="5"/>
  <c r="H136" i="5" s="1"/>
  <c r="H372" i="5"/>
  <c r="H373" i="5" s="1"/>
  <c r="V97" i="5"/>
  <c r="V100" i="5"/>
  <c r="V98" i="5"/>
  <c r="V99" i="5"/>
  <c r="G281" i="5"/>
  <c r="S78" i="13" s="1"/>
  <c r="G126" i="5"/>
  <c r="G128" i="5"/>
  <c r="E8" i="11" s="1"/>
  <c r="D11" i="16"/>
  <c r="D20" i="11"/>
  <c r="Q68" i="11"/>
  <c r="U168" i="5"/>
  <c r="G209" i="5"/>
  <c r="E8" i="12" s="1"/>
  <c r="E21" i="12" s="1"/>
  <c r="E42" i="16" s="1"/>
  <c r="G207" i="5"/>
  <c r="X67" i="5"/>
  <c r="W96" i="5" s="1"/>
  <c r="X391" i="5"/>
  <c r="W427" i="5" s="1"/>
  <c r="U27" i="5"/>
  <c r="X148" i="5"/>
  <c r="X310" i="5"/>
  <c r="W345" i="5" s="1"/>
  <c r="U28" i="5"/>
  <c r="X229" i="5"/>
  <c r="U29" i="5"/>
  <c r="X472" i="5"/>
  <c r="W501" i="5" s="1"/>
  <c r="S79" i="1"/>
  <c r="Q70" i="12"/>
  <c r="D50" i="12" s="1"/>
  <c r="U249" i="5"/>
  <c r="U510" i="5"/>
  <c r="Q71" i="15"/>
  <c r="D51" i="15" s="1"/>
  <c r="U493" i="5"/>
  <c r="H98" i="5"/>
  <c r="H16" i="1" s="1"/>
  <c r="U331" i="5"/>
  <c r="Q71" i="13"/>
  <c r="D51" i="13" s="1"/>
  <c r="S81" i="15"/>
  <c r="V342" i="5"/>
  <c r="P72" i="15"/>
  <c r="V179" i="5"/>
  <c r="V180" i="5"/>
  <c r="V181" i="5"/>
  <c r="V183" i="5"/>
  <c r="V178" i="5"/>
  <c r="V184" i="5"/>
  <c r="V177" i="5"/>
  <c r="U348" i="5"/>
  <c r="Q68" i="13"/>
  <c r="U329" i="5"/>
  <c r="Q70" i="14"/>
  <c r="D50" i="14" s="1"/>
  <c r="U411" i="5"/>
  <c r="Q71" i="14"/>
  <c r="D51" i="14" s="1"/>
  <c r="U412" i="5"/>
  <c r="V346" i="5"/>
  <c r="G47" i="5"/>
  <c r="E8" i="1" s="1"/>
  <c r="G45" i="5"/>
  <c r="C49" i="11"/>
  <c r="P120" i="16"/>
  <c r="D20" i="19" s="1"/>
  <c r="V421" i="5"/>
  <c r="V427" i="5"/>
  <c r="V426" i="5"/>
  <c r="V420" i="5"/>
  <c r="V424" i="5"/>
  <c r="R70" i="14" s="1"/>
  <c r="E50" i="14" s="1"/>
  <c r="U250" i="5"/>
  <c r="Q71" i="12"/>
  <c r="D51" i="12" s="1"/>
  <c r="V343" i="5"/>
  <c r="G288" i="5"/>
  <c r="G290" i="5"/>
  <c r="E8" i="13" s="1"/>
  <c r="E17" i="16" s="1"/>
  <c r="U492" i="5"/>
  <c r="Q70" i="15"/>
  <c r="D50" i="15" s="1"/>
  <c r="U105" i="5"/>
  <c r="Q66" i="1"/>
  <c r="U86" i="5"/>
  <c r="T79" i="11"/>
  <c r="G450" i="5"/>
  <c r="G452" i="5"/>
  <c r="E8" i="15" s="1"/>
  <c r="V507" i="5"/>
  <c r="V508" i="5"/>
  <c r="V501" i="5"/>
  <c r="R68" i="15" s="1"/>
  <c r="V504" i="5"/>
  <c r="V505" i="5"/>
  <c r="V422" i="5"/>
  <c r="Q66" i="11"/>
  <c r="U167" i="5"/>
  <c r="U186" i="5"/>
  <c r="S81" i="12"/>
  <c r="V261" i="5"/>
  <c r="V265" i="5"/>
  <c r="V264" i="5"/>
  <c r="U248" i="5"/>
  <c r="U267" i="5"/>
  <c r="Q68" i="12"/>
  <c r="AA476" i="5"/>
  <c r="AA314" i="5"/>
  <c r="AA152" i="5"/>
  <c r="AA233" i="5"/>
  <c r="AA395" i="5"/>
  <c r="AA71" i="5"/>
  <c r="Y35" i="5"/>
  <c r="C19" i="19"/>
  <c r="O121" i="16"/>
  <c r="G429" i="5"/>
  <c r="C54" i="13"/>
  <c r="R69" i="15"/>
  <c r="C46" i="16"/>
  <c r="AM7" i="5"/>
  <c r="AN6" i="5" s="1"/>
  <c r="AM8" i="5"/>
  <c r="G259" i="5"/>
  <c r="H253" i="5"/>
  <c r="G256" i="5"/>
  <c r="AL8" i="5"/>
  <c r="C39" i="16"/>
  <c r="B52" i="11"/>
  <c r="C51" i="16"/>
  <c r="Y474" i="5"/>
  <c r="X475" i="5"/>
  <c r="C36" i="16"/>
  <c r="E31" i="16"/>
  <c r="C48" i="16"/>
  <c r="B30" i="16"/>
  <c r="I97" i="5"/>
  <c r="I94" i="5"/>
  <c r="J91" i="5"/>
  <c r="E5" i="1"/>
  <c r="D6" i="8"/>
  <c r="D6" i="7"/>
  <c r="D6" i="4"/>
  <c r="D6" i="9"/>
  <c r="D6" i="10"/>
  <c r="AA315" i="5"/>
  <c r="AA396" i="5"/>
  <c r="AA72" i="5"/>
  <c r="Z153" i="5"/>
  <c r="Z234" i="5"/>
  <c r="Z477" i="5"/>
  <c r="H341" i="5"/>
  <c r="H16" i="13" s="1"/>
  <c r="H496" i="5"/>
  <c r="G502" i="5"/>
  <c r="G499" i="5"/>
  <c r="J172" i="5"/>
  <c r="I178" i="5"/>
  <c r="I175" i="5"/>
  <c r="H179" i="5"/>
  <c r="H16" i="11" s="1"/>
  <c r="F503" i="5"/>
  <c r="F16" i="15" s="1"/>
  <c r="H422" i="5"/>
  <c r="H16" i="14" s="1"/>
  <c r="I340" i="5"/>
  <c r="J334" i="5"/>
  <c r="I337" i="5"/>
  <c r="J415" i="5"/>
  <c r="I418" i="5"/>
  <c r="I421" i="5"/>
  <c r="AA312" i="5"/>
  <c r="AB69" i="5"/>
  <c r="AB392" i="5"/>
  <c r="Z231" i="5"/>
  <c r="AD473" i="5"/>
  <c r="Y393" i="5"/>
  <c r="X394" i="5"/>
  <c r="AA311" i="5"/>
  <c r="Z313" i="5"/>
  <c r="Q118" i="16"/>
  <c r="AA68" i="5"/>
  <c r="Z70" i="5"/>
  <c r="Z230" i="5"/>
  <c r="Y232" i="5"/>
  <c r="AC149" i="5"/>
  <c r="B27" i="13" l="1"/>
  <c r="B28" i="13" s="1"/>
  <c r="B27" i="14"/>
  <c r="B55" i="14" s="1"/>
  <c r="B56" i="14" s="1"/>
  <c r="B64" i="14" s="1"/>
  <c r="B18" i="11"/>
  <c r="R69" i="14"/>
  <c r="D15" i="14"/>
  <c r="R67" i="1"/>
  <c r="R68" i="13"/>
  <c r="E15" i="13" s="1"/>
  <c r="R68" i="12"/>
  <c r="E15" i="12" s="1"/>
  <c r="D15" i="15"/>
  <c r="B27" i="15"/>
  <c r="R67" i="11"/>
  <c r="C19" i="12"/>
  <c r="E20" i="11"/>
  <c r="E39" i="16" s="1"/>
  <c r="E11" i="16"/>
  <c r="D12" i="16"/>
  <c r="D21" i="11"/>
  <c r="D40" i="16" s="1"/>
  <c r="D11" i="11"/>
  <c r="D13" i="16"/>
  <c r="D22" i="11"/>
  <c r="D41" i="16" s="1"/>
  <c r="B19" i="15"/>
  <c r="B24" i="11"/>
  <c r="B29" i="16"/>
  <c r="E17" i="15"/>
  <c r="E26" i="15" s="1"/>
  <c r="E9" i="1"/>
  <c r="E9" i="16" s="1"/>
  <c r="D9" i="1"/>
  <c r="E10" i="12"/>
  <c r="E16" i="16" s="1"/>
  <c r="D13" i="11"/>
  <c r="D23" i="11" s="1"/>
  <c r="C12" i="16"/>
  <c r="C21" i="11"/>
  <c r="C40" i="16" s="1"/>
  <c r="C11" i="11"/>
  <c r="B26" i="16"/>
  <c r="C13" i="14"/>
  <c r="E13" i="13"/>
  <c r="E24" i="13" s="1"/>
  <c r="D17" i="1"/>
  <c r="D25" i="1" s="1"/>
  <c r="C17" i="1"/>
  <c r="D10" i="13"/>
  <c r="E17" i="14"/>
  <c r="E26" i="14" s="1"/>
  <c r="D9" i="14"/>
  <c r="E9" i="11"/>
  <c r="E12" i="16" s="1"/>
  <c r="E17" i="1"/>
  <c r="E25" i="1" s="1"/>
  <c r="E9" i="13"/>
  <c r="E18" i="16" s="1"/>
  <c r="D9" i="13"/>
  <c r="D14" i="1"/>
  <c r="C14" i="1"/>
  <c r="D17" i="15"/>
  <c r="D26" i="15" s="1"/>
  <c r="B19" i="12"/>
  <c r="D14" i="14"/>
  <c r="D25" i="14" s="1"/>
  <c r="C21" i="16"/>
  <c r="C11" i="14"/>
  <c r="C19" i="13"/>
  <c r="D14" i="13"/>
  <c r="D25" i="13" s="1"/>
  <c r="B32" i="16"/>
  <c r="C18" i="11"/>
  <c r="E10" i="1"/>
  <c r="E22" i="1" s="1"/>
  <c r="E38" i="16" s="1"/>
  <c r="E14" i="1"/>
  <c r="E24" i="1" s="1"/>
  <c r="C23" i="12"/>
  <c r="C44" i="16" s="1"/>
  <c r="D22" i="1"/>
  <c r="D38" i="16" s="1"/>
  <c r="B26" i="1"/>
  <c r="B27" i="1" s="1"/>
  <c r="B24" i="12"/>
  <c r="B54" i="16" s="1"/>
  <c r="B28" i="16"/>
  <c r="C15" i="16"/>
  <c r="C11" i="12"/>
  <c r="B56" i="16"/>
  <c r="D13" i="12"/>
  <c r="D24" i="12" s="1"/>
  <c r="C22" i="14"/>
  <c r="C49" i="16" s="1"/>
  <c r="E9" i="15"/>
  <c r="E24" i="16" s="1"/>
  <c r="C19" i="15"/>
  <c r="D23" i="12"/>
  <c r="D44" i="16" s="1"/>
  <c r="D22" i="12"/>
  <c r="D43" i="16" s="1"/>
  <c r="D15" i="16"/>
  <c r="D11" i="12"/>
  <c r="E14" i="12"/>
  <c r="E25" i="12" s="1"/>
  <c r="D23" i="14"/>
  <c r="D50" i="16" s="1"/>
  <c r="D10" i="15"/>
  <c r="C13" i="16"/>
  <c r="C22" i="11"/>
  <c r="C41" i="16" s="1"/>
  <c r="E9" i="12"/>
  <c r="D9" i="15"/>
  <c r="E14" i="16"/>
  <c r="C27" i="15"/>
  <c r="C27" i="13"/>
  <c r="E21" i="13"/>
  <c r="E45" i="16" s="1"/>
  <c r="F8" i="1"/>
  <c r="F20" i="1" s="1"/>
  <c r="F36" i="16" s="1"/>
  <c r="H397" i="5"/>
  <c r="G400" i="5" s="1"/>
  <c r="C47" i="16"/>
  <c r="I179" i="5"/>
  <c r="I16" i="11" s="1"/>
  <c r="E20" i="16"/>
  <c r="H458" i="5"/>
  <c r="H296" i="5"/>
  <c r="H507" i="5"/>
  <c r="G510" i="5" s="1"/>
  <c r="H57" i="5"/>
  <c r="G61" i="5"/>
  <c r="H146" i="5"/>
  <c r="G150" i="5"/>
  <c r="H381" i="5"/>
  <c r="G385" i="5"/>
  <c r="H138" i="5"/>
  <c r="G142" i="5"/>
  <c r="H316" i="5"/>
  <c r="G319" i="5" s="1"/>
  <c r="H102" i="5"/>
  <c r="G105" i="5" s="1"/>
  <c r="H154" i="5"/>
  <c r="H53" i="5"/>
  <c r="H485" i="5"/>
  <c r="G488" i="5" s="1"/>
  <c r="H308" i="5"/>
  <c r="G312" i="5"/>
  <c r="E10" i="13" s="1"/>
  <c r="H470" i="5"/>
  <c r="G474" i="5"/>
  <c r="H264" i="5"/>
  <c r="G267" i="5" s="1"/>
  <c r="F267" i="5"/>
  <c r="H65" i="5"/>
  <c r="G69" i="5"/>
  <c r="H377" i="5"/>
  <c r="H227" i="5"/>
  <c r="G231" i="5"/>
  <c r="F400" i="5"/>
  <c r="E13" i="14" s="1"/>
  <c r="E24" i="14" s="1"/>
  <c r="H161" i="5"/>
  <c r="G164" i="5" s="1"/>
  <c r="E14" i="11" s="1"/>
  <c r="H80" i="5"/>
  <c r="G83" i="5" s="1"/>
  <c r="H73" i="5"/>
  <c r="G76" i="5" s="1"/>
  <c r="F76" i="5"/>
  <c r="H134" i="5"/>
  <c r="H242" i="5"/>
  <c r="G245" i="5" s="1"/>
  <c r="H478" i="5"/>
  <c r="H183" i="5"/>
  <c r="G186" i="5" s="1"/>
  <c r="H300" i="5"/>
  <c r="G304" i="5"/>
  <c r="H235" i="5"/>
  <c r="H462" i="5"/>
  <c r="G466" i="5"/>
  <c r="H215" i="5"/>
  <c r="F8" i="13"/>
  <c r="F21" i="13" s="1"/>
  <c r="F45" i="16" s="1"/>
  <c r="H404" i="5"/>
  <c r="G407" i="5" s="1"/>
  <c r="H219" i="5"/>
  <c r="H389" i="5"/>
  <c r="G393" i="5"/>
  <c r="E10" i="14" s="1"/>
  <c r="H345" i="5"/>
  <c r="G348" i="5" s="1"/>
  <c r="F348" i="5"/>
  <c r="H323" i="5"/>
  <c r="G326" i="5" s="1"/>
  <c r="E14" i="13" s="1"/>
  <c r="E25" i="13" s="1"/>
  <c r="C42" i="16"/>
  <c r="R66" i="1"/>
  <c r="R71" i="13"/>
  <c r="E51" i="13" s="1"/>
  <c r="U494" i="5"/>
  <c r="V248" i="5"/>
  <c r="B42" i="16"/>
  <c r="C30" i="16"/>
  <c r="Q72" i="15"/>
  <c r="V88" i="5"/>
  <c r="V329" i="5"/>
  <c r="R68" i="14"/>
  <c r="W426" i="5"/>
  <c r="W412" i="5" s="1"/>
  <c r="U413" i="5"/>
  <c r="AA150" i="5"/>
  <c r="Z151" i="5"/>
  <c r="W342" i="5"/>
  <c r="V348" i="5"/>
  <c r="T79" i="1"/>
  <c r="T81" i="12"/>
  <c r="W99" i="5"/>
  <c r="W103" i="5"/>
  <c r="V411" i="5"/>
  <c r="D54" i="12"/>
  <c r="V491" i="5"/>
  <c r="Y32" i="5"/>
  <c r="X33" i="5"/>
  <c r="V510" i="5"/>
  <c r="W424" i="5"/>
  <c r="U89" i="5"/>
  <c r="V331" i="5"/>
  <c r="V410" i="5"/>
  <c r="W97" i="5"/>
  <c r="V169" i="5"/>
  <c r="R69" i="11"/>
  <c r="E49" i="11" s="1"/>
  <c r="D15" i="1"/>
  <c r="Q117" i="16"/>
  <c r="E13" i="19" s="1"/>
  <c r="Q70" i="1"/>
  <c r="D39" i="16"/>
  <c r="P121" i="16"/>
  <c r="W340" i="5"/>
  <c r="V86" i="5"/>
  <c r="D15" i="13"/>
  <c r="Q72" i="13"/>
  <c r="H369" i="5"/>
  <c r="H371" i="5"/>
  <c r="F8" i="14" s="1"/>
  <c r="F20" i="16" s="1"/>
  <c r="U251" i="5"/>
  <c r="W339" i="5"/>
  <c r="T81" i="13"/>
  <c r="D54" i="13"/>
  <c r="G260" i="5"/>
  <c r="G16" i="12" s="1"/>
  <c r="R71" i="12"/>
  <c r="E51" i="12" s="1"/>
  <c r="V250" i="5"/>
  <c r="V186" i="5"/>
  <c r="R66" i="11"/>
  <c r="V167" i="5"/>
  <c r="I344" i="5"/>
  <c r="I343" i="5" s="1"/>
  <c r="I291" i="5"/>
  <c r="I292" i="5" s="1"/>
  <c r="I425" i="5"/>
  <c r="I424" i="5" s="1"/>
  <c r="H362" i="5"/>
  <c r="T78" i="14" s="1"/>
  <c r="I210" i="5"/>
  <c r="I211" i="5" s="1"/>
  <c r="I388" i="5"/>
  <c r="I387" i="5" s="1"/>
  <c r="I315" i="5"/>
  <c r="I314" i="5" s="1"/>
  <c r="U106" i="16"/>
  <c r="I234" i="5"/>
  <c r="I233" i="5" s="1"/>
  <c r="I56" i="5"/>
  <c r="I55" i="5" s="1"/>
  <c r="I372" i="5"/>
  <c r="I373" i="5" s="1"/>
  <c r="U105" i="16"/>
  <c r="H40" i="5"/>
  <c r="U81" i="1" s="1"/>
  <c r="I160" i="5"/>
  <c r="I159" i="5" s="1"/>
  <c r="I403" i="5"/>
  <c r="I402" i="5" s="1"/>
  <c r="I129" i="5"/>
  <c r="I130" i="5" s="1"/>
  <c r="H120" i="5"/>
  <c r="U80" i="11" s="1"/>
  <c r="H202" i="5"/>
  <c r="U83" i="12" s="1"/>
  <c r="H445" i="5"/>
  <c r="U83" i="15" s="1"/>
  <c r="W30" i="5"/>
  <c r="I477" i="5"/>
  <c r="I476" i="5" s="1"/>
  <c r="I79" i="5"/>
  <c r="I78" i="5" s="1"/>
  <c r="I145" i="5"/>
  <c r="I144" i="5" s="1"/>
  <c r="H121" i="5"/>
  <c r="U81" i="11" s="1"/>
  <c r="H41" i="5"/>
  <c r="U84" i="1" s="1"/>
  <c r="H443" i="5"/>
  <c r="T78" i="15" s="1"/>
  <c r="I182" i="5"/>
  <c r="I181" i="5" s="1"/>
  <c r="I218" i="5"/>
  <c r="I217" i="5" s="1"/>
  <c r="I506" i="5"/>
  <c r="I505" i="5" s="1"/>
  <c r="H282" i="5"/>
  <c r="U82" i="13" s="1"/>
  <c r="I461" i="5"/>
  <c r="I460" i="5" s="1"/>
  <c r="I380" i="5"/>
  <c r="I379" i="5" s="1"/>
  <c r="I137" i="5"/>
  <c r="I136" i="5" s="1"/>
  <c r="H284" i="5"/>
  <c r="U86" i="13" s="1"/>
  <c r="H203" i="5"/>
  <c r="U86" i="12" s="1"/>
  <c r="H446" i="5"/>
  <c r="U86" i="15" s="1"/>
  <c r="H122" i="5"/>
  <c r="U84" i="11" s="1"/>
  <c r="I322" i="5"/>
  <c r="I321" i="5" s="1"/>
  <c r="V2" i="5"/>
  <c r="I365" i="5" s="1"/>
  <c r="V86" i="14" s="1"/>
  <c r="H38" i="5"/>
  <c r="T76" i="1" s="1"/>
  <c r="H283" i="5"/>
  <c r="U83" i="13" s="1"/>
  <c r="I48" i="5"/>
  <c r="I49" i="5" s="1"/>
  <c r="I72" i="5"/>
  <c r="I71" i="5" s="1"/>
  <c r="I263" i="5"/>
  <c r="I262" i="5" s="1"/>
  <c r="I307" i="5"/>
  <c r="I306" i="5" s="1"/>
  <c r="H201" i="5"/>
  <c r="U82" i="12" s="1"/>
  <c r="I226" i="5"/>
  <c r="I225" i="5" s="1"/>
  <c r="H281" i="5"/>
  <c r="T78" i="13" s="1"/>
  <c r="I64" i="5"/>
  <c r="I63" i="5" s="1"/>
  <c r="I241" i="5"/>
  <c r="I240" i="5" s="1"/>
  <c r="I153" i="5"/>
  <c r="I152" i="5" s="1"/>
  <c r="H444" i="5"/>
  <c r="U82" i="15" s="1"/>
  <c r="H363" i="5"/>
  <c r="U82" i="14" s="1"/>
  <c r="I299" i="5"/>
  <c r="I298" i="5" s="1"/>
  <c r="I484" i="5"/>
  <c r="I483" i="5" s="1"/>
  <c r="H200" i="5"/>
  <c r="T78" i="12" s="1"/>
  <c r="I101" i="5"/>
  <c r="I100" i="5" s="1"/>
  <c r="H119" i="5"/>
  <c r="T76" i="11" s="1"/>
  <c r="I469" i="5"/>
  <c r="I468" i="5" s="1"/>
  <c r="I396" i="5"/>
  <c r="I395" i="5" s="1"/>
  <c r="I453" i="5"/>
  <c r="I454" i="5" s="1"/>
  <c r="H39" i="5"/>
  <c r="U80" i="1" s="1"/>
  <c r="H364" i="5"/>
  <c r="U83" i="14" s="1"/>
  <c r="H365" i="5"/>
  <c r="U86" i="14" s="1"/>
  <c r="H209" i="5"/>
  <c r="F8" i="12" s="1"/>
  <c r="F21" i="12" s="1"/>
  <c r="F42" i="16" s="1"/>
  <c r="H207" i="5"/>
  <c r="T81" i="14"/>
  <c r="Y148" i="5"/>
  <c r="X184" i="5" s="1"/>
  <c r="Y229" i="5"/>
  <c r="Y391" i="5"/>
  <c r="X422" i="5" s="1"/>
  <c r="Y310" i="5"/>
  <c r="X339" i="5" s="1"/>
  <c r="V27" i="5"/>
  <c r="Y472" i="5"/>
  <c r="X504" i="5" s="1"/>
  <c r="Y67" i="5"/>
  <c r="X100" i="5" s="1"/>
  <c r="V28" i="5"/>
  <c r="V29" i="5"/>
  <c r="E23" i="16"/>
  <c r="E21" i="15"/>
  <c r="W264" i="5"/>
  <c r="W260" i="5"/>
  <c r="W259" i="5"/>
  <c r="W261" i="5"/>
  <c r="W265" i="5"/>
  <c r="W262" i="5"/>
  <c r="W258" i="5"/>
  <c r="W341" i="5"/>
  <c r="H47" i="5"/>
  <c r="H45" i="5"/>
  <c r="Q72" i="14"/>
  <c r="W180" i="5"/>
  <c r="W179" i="5"/>
  <c r="W177" i="5"/>
  <c r="W184" i="5"/>
  <c r="W181" i="5"/>
  <c r="W178" i="5"/>
  <c r="W183" i="5"/>
  <c r="W343" i="5"/>
  <c r="Q72" i="12"/>
  <c r="D15" i="12"/>
  <c r="U332" i="5"/>
  <c r="W98" i="5"/>
  <c r="H288" i="5"/>
  <c r="H290" i="5"/>
  <c r="C79" i="16"/>
  <c r="R71" i="14"/>
  <c r="E51" i="14" s="1"/>
  <c r="E54" i="14" s="1"/>
  <c r="V412" i="5"/>
  <c r="H450" i="5"/>
  <c r="H452" i="5"/>
  <c r="F8" i="15" s="1"/>
  <c r="F21" i="15" s="1"/>
  <c r="F51" i="16" s="1"/>
  <c r="V429" i="5"/>
  <c r="W422" i="5"/>
  <c r="D54" i="15"/>
  <c r="W502" i="5"/>
  <c r="W503" i="5"/>
  <c r="W507" i="5"/>
  <c r="W508" i="5"/>
  <c r="W504" i="5"/>
  <c r="W505" i="5"/>
  <c r="R68" i="1"/>
  <c r="V87" i="5"/>
  <c r="V105" i="5"/>
  <c r="D21" i="19"/>
  <c r="R70" i="12"/>
  <c r="V249" i="5"/>
  <c r="C80" i="16"/>
  <c r="C52" i="11"/>
  <c r="D48" i="11"/>
  <c r="Q119" i="16"/>
  <c r="E19" i="19" s="1"/>
  <c r="R70" i="15"/>
  <c r="V492" i="5"/>
  <c r="H128" i="5"/>
  <c r="F8" i="11" s="1"/>
  <c r="H126" i="5"/>
  <c r="D49" i="1"/>
  <c r="Q120" i="16"/>
  <c r="E20" i="19" s="1"/>
  <c r="V168" i="5"/>
  <c r="R68" i="11"/>
  <c r="E48" i="11" s="1"/>
  <c r="W346" i="5"/>
  <c r="E15" i="15"/>
  <c r="U170" i="5"/>
  <c r="D15" i="11"/>
  <c r="Q70" i="11"/>
  <c r="V493" i="5"/>
  <c r="R71" i="15"/>
  <c r="E51" i="15" s="1"/>
  <c r="W102" i="5"/>
  <c r="T81" i="15"/>
  <c r="V267" i="5"/>
  <c r="D54" i="14"/>
  <c r="V330" i="5"/>
  <c r="R70" i="13"/>
  <c r="E50" i="13" s="1"/>
  <c r="W421" i="5"/>
  <c r="W420" i="5"/>
  <c r="W423" i="5"/>
  <c r="W100" i="5"/>
  <c r="E20" i="1"/>
  <c r="E8" i="16"/>
  <c r="Y475" i="5"/>
  <c r="Z474" i="5"/>
  <c r="C21" i="19"/>
  <c r="H256" i="5"/>
  <c r="H259" i="5"/>
  <c r="I253" i="5"/>
  <c r="AN7" i="5"/>
  <c r="AO6" i="5" s="1"/>
  <c r="I429" i="5"/>
  <c r="AB476" i="5"/>
  <c r="AB152" i="5"/>
  <c r="AB233" i="5"/>
  <c r="AB395" i="5"/>
  <c r="AB71" i="5"/>
  <c r="Z35" i="5"/>
  <c r="AB314" i="5"/>
  <c r="H429" i="5"/>
  <c r="I341" i="5"/>
  <c r="I16" i="13" s="1"/>
  <c r="E5" i="7"/>
  <c r="E5" i="10"/>
  <c r="E5" i="4"/>
  <c r="E5" i="8"/>
  <c r="E6" i="1"/>
  <c r="E5" i="9"/>
  <c r="K91" i="5"/>
  <c r="J94" i="5"/>
  <c r="J97" i="5"/>
  <c r="I98" i="5"/>
  <c r="I16" i="1" s="1"/>
  <c r="AA234" i="5"/>
  <c r="AA153" i="5"/>
  <c r="AA477" i="5"/>
  <c r="AB396" i="5"/>
  <c r="AB72" i="5"/>
  <c r="AB315" i="5"/>
  <c r="F31" i="16"/>
  <c r="I422" i="5"/>
  <c r="I16" i="14" s="1"/>
  <c r="J340" i="5"/>
  <c r="J337" i="5"/>
  <c r="K334" i="5"/>
  <c r="G503" i="5"/>
  <c r="G16" i="15" s="1"/>
  <c r="J418" i="5"/>
  <c r="J421" i="5"/>
  <c r="K415" i="5"/>
  <c r="J178" i="5"/>
  <c r="K172" i="5"/>
  <c r="J175" i="5"/>
  <c r="H499" i="5"/>
  <c r="I496" i="5"/>
  <c r="H502" i="5"/>
  <c r="AE473" i="5"/>
  <c r="AB68" i="5"/>
  <c r="AA70" i="5"/>
  <c r="AA231" i="5"/>
  <c r="AD149" i="5"/>
  <c r="AB312" i="5"/>
  <c r="AB311" i="5"/>
  <c r="AA313" i="5"/>
  <c r="E14" i="19"/>
  <c r="AA230" i="5"/>
  <c r="Z232" i="5"/>
  <c r="AC392" i="5"/>
  <c r="R118" i="16"/>
  <c r="Z393" i="5"/>
  <c r="Y394" i="5"/>
  <c r="AC69" i="5"/>
  <c r="D18" i="11" l="1"/>
  <c r="B55" i="13"/>
  <c r="B56" i="13" s="1"/>
  <c r="B64" i="13" s="1"/>
  <c r="C26" i="11"/>
  <c r="C53" i="11" s="1"/>
  <c r="C54" i="11" s="1"/>
  <c r="C62" i="11" s="1"/>
  <c r="E23" i="12"/>
  <c r="E44" i="16" s="1"/>
  <c r="B28" i="14"/>
  <c r="C18" i="1"/>
  <c r="B27" i="12"/>
  <c r="B55" i="12" s="1"/>
  <c r="B56" i="12" s="1"/>
  <c r="B64" i="12" s="1"/>
  <c r="E11" i="12"/>
  <c r="B28" i="15"/>
  <c r="S67" i="1"/>
  <c r="E15" i="14"/>
  <c r="E15" i="1"/>
  <c r="S69" i="15"/>
  <c r="C55" i="15"/>
  <c r="C56" i="15" s="1"/>
  <c r="C64" i="15" s="1"/>
  <c r="S67" i="11"/>
  <c r="C27" i="11"/>
  <c r="S69" i="14"/>
  <c r="S69" i="13"/>
  <c r="S66" i="1"/>
  <c r="S69" i="12"/>
  <c r="S118" i="16" s="1"/>
  <c r="G14" i="19" s="1"/>
  <c r="D29" i="16"/>
  <c r="D19" i="15"/>
  <c r="D24" i="1"/>
  <c r="D55" i="16" s="1"/>
  <c r="C27" i="12"/>
  <c r="C28" i="12" s="1"/>
  <c r="B33" i="16"/>
  <c r="B34" i="16" s="1"/>
  <c r="B53" i="1"/>
  <c r="B54" i="1" s="1"/>
  <c r="B62" i="1" s="1"/>
  <c r="E23" i="14"/>
  <c r="E50" i="16" s="1"/>
  <c r="E22" i="16"/>
  <c r="F20" i="11"/>
  <c r="F39" i="16" s="1"/>
  <c r="F11" i="16"/>
  <c r="E19" i="16"/>
  <c r="E11" i="13"/>
  <c r="E23" i="13"/>
  <c r="E47" i="16" s="1"/>
  <c r="E24" i="11"/>
  <c r="F17" i="11"/>
  <c r="F25" i="11" s="1"/>
  <c r="C24" i="1"/>
  <c r="C29" i="16"/>
  <c r="F9" i="14"/>
  <c r="F21" i="16" s="1"/>
  <c r="C55" i="13"/>
  <c r="C56" i="13" s="1"/>
  <c r="C64" i="13" s="1"/>
  <c r="E9" i="14"/>
  <c r="D18" i="16"/>
  <c r="D22" i="13"/>
  <c r="D11" i="13"/>
  <c r="D9" i="16"/>
  <c r="D21" i="1"/>
  <c r="D37" i="16" s="1"/>
  <c r="D11" i="1"/>
  <c r="C24" i="14"/>
  <c r="C19" i="14"/>
  <c r="C28" i="16"/>
  <c r="F14" i="15"/>
  <c r="F25" i="15" s="1"/>
  <c r="E13" i="1"/>
  <c r="E23" i="1" s="1"/>
  <c r="D13" i="1"/>
  <c r="D18" i="1" s="1"/>
  <c r="E17" i="12"/>
  <c r="E26" i="12" s="1"/>
  <c r="D17" i="12"/>
  <c r="D19" i="12" s="1"/>
  <c r="E10" i="16"/>
  <c r="D24" i="16"/>
  <c r="D22" i="15"/>
  <c r="D11" i="15"/>
  <c r="D21" i="16"/>
  <c r="D22" i="14"/>
  <c r="D11" i="14"/>
  <c r="E17" i="13"/>
  <c r="E26" i="13" s="1"/>
  <c r="D17" i="13"/>
  <c r="D26" i="13" s="1"/>
  <c r="E22" i="13"/>
  <c r="E46" i="16" s="1"/>
  <c r="E15" i="16"/>
  <c r="E22" i="12"/>
  <c r="E43" i="16" s="1"/>
  <c r="E17" i="11"/>
  <c r="E25" i="11" s="1"/>
  <c r="F10" i="11"/>
  <c r="F13" i="16" s="1"/>
  <c r="B55" i="15"/>
  <c r="B56" i="15" s="1"/>
  <c r="B64" i="15" s="1"/>
  <c r="E11" i="1"/>
  <c r="D26" i="11"/>
  <c r="G17" i="14"/>
  <c r="G26" i="14" s="1"/>
  <c r="E22" i="15"/>
  <c r="E52" i="16" s="1"/>
  <c r="E14" i="15"/>
  <c r="E25" i="15" s="1"/>
  <c r="D19" i="16"/>
  <c r="D23" i="13"/>
  <c r="D47" i="16" s="1"/>
  <c r="C26" i="16"/>
  <c r="E14" i="14"/>
  <c r="E25" i="14" s="1"/>
  <c r="E21" i="11"/>
  <c r="E40" i="16" s="1"/>
  <c r="F17" i="14"/>
  <c r="F26" i="14" s="1"/>
  <c r="D13" i="14"/>
  <c r="F9" i="13"/>
  <c r="F18" i="16" s="1"/>
  <c r="F13" i="13"/>
  <c r="F24" i="13" s="1"/>
  <c r="E21" i="1"/>
  <c r="E37" i="16" s="1"/>
  <c r="D25" i="16"/>
  <c r="D23" i="15"/>
  <c r="D53" i="16" s="1"/>
  <c r="C25" i="1"/>
  <c r="C56" i="16" s="1"/>
  <c r="C32" i="16"/>
  <c r="F9" i="11"/>
  <c r="F21" i="11" s="1"/>
  <c r="F40" i="16" s="1"/>
  <c r="E10" i="11"/>
  <c r="E10" i="15"/>
  <c r="B55" i="16"/>
  <c r="B57" i="16" s="1"/>
  <c r="B26" i="11"/>
  <c r="C28" i="15"/>
  <c r="C28" i="13"/>
  <c r="F14" i="16"/>
  <c r="F21" i="14"/>
  <c r="F48" i="16" s="1"/>
  <c r="F23" i="16"/>
  <c r="G8" i="1"/>
  <c r="G20" i="1" s="1"/>
  <c r="G36" i="16" s="1"/>
  <c r="F8" i="16"/>
  <c r="F17" i="16"/>
  <c r="X342" i="5"/>
  <c r="I296" i="5"/>
  <c r="I458" i="5"/>
  <c r="I377" i="5"/>
  <c r="I53" i="5"/>
  <c r="I235" i="5"/>
  <c r="H238" i="5" s="1"/>
  <c r="I154" i="5"/>
  <c r="H157" i="5" s="1"/>
  <c r="I57" i="5"/>
  <c r="H61" i="5"/>
  <c r="I323" i="5"/>
  <c r="H326" i="5" s="1"/>
  <c r="F14" i="13" s="1"/>
  <c r="F25" i="13" s="1"/>
  <c r="I316" i="5"/>
  <c r="H319" i="5" s="1"/>
  <c r="I138" i="5"/>
  <c r="H142" i="5"/>
  <c r="I470" i="5"/>
  <c r="H474" i="5"/>
  <c r="G8" i="14"/>
  <c r="G20" i="16" s="1"/>
  <c r="I478" i="5"/>
  <c r="H481" i="5" s="1"/>
  <c r="G481" i="5"/>
  <c r="I381" i="5"/>
  <c r="H385" i="5"/>
  <c r="I134" i="5"/>
  <c r="I161" i="5"/>
  <c r="H164" i="5" s="1"/>
  <c r="I264" i="5"/>
  <c r="H267" i="5" s="1"/>
  <c r="I345" i="5"/>
  <c r="H348" i="5" s="1"/>
  <c r="I389" i="5"/>
  <c r="H393" i="5"/>
  <c r="F10" i="14" s="1"/>
  <c r="I485" i="5"/>
  <c r="H488" i="5" s="1"/>
  <c r="I219" i="5"/>
  <c r="H223" i="5"/>
  <c r="I183" i="5"/>
  <c r="H186" i="5" s="1"/>
  <c r="I397" i="5"/>
  <c r="I404" i="5"/>
  <c r="H407" i="5" s="1"/>
  <c r="F14" i="14" s="1"/>
  <c r="F25" i="14" s="1"/>
  <c r="I73" i="5"/>
  <c r="H76" i="5" s="1"/>
  <c r="I215" i="5"/>
  <c r="I507" i="5"/>
  <c r="H510" i="5" s="1"/>
  <c r="I300" i="5"/>
  <c r="H304" i="5"/>
  <c r="I308" i="5"/>
  <c r="H312" i="5"/>
  <c r="F10" i="13" s="1"/>
  <c r="I462" i="5"/>
  <c r="H466" i="5"/>
  <c r="I227" i="5"/>
  <c r="H231" i="5"/>
  <c r="I242" i="5"/>
  <c r="H245" i="5" s="1"/>
  <c r="I65" i="5"/>
  <c r="H69" i="5"/>
  <c r="F10" i="1" s="1"/>
  <c r="I146" i="5"/>
  <c r="H150" i="5"/>
  <c r="I102" i="5"/>
  <c r="H105" i="5" s="1"/>
  <c r="G238" i="5"/>
  <c r="I80" i="5"/>
  <c r="H83" i="5" s="1"/>
  <c r="G157" i="5"/>
  <c r="R70" i="1"/>
  <c r="S71" i="14"/>
  <c r="F51" i="14" s="1"/>
  <c r="R72" i="14"/>
  <c r="E54" i="13"/>
  <c r="R117" i="16"/>
  <c r="F13" i="19" s="1"/>
  <c r="V332" i="5"/>
  <c r="AB150" i="5"/>
  <c r="AA151" i="5"/>
  <c r="V105" i="16"/>
  <c r="X421" i="5"/>
  <c r="T69" i="14" s="1"/>
  <c r="V413" i="5"/>
  <c r="X103" i="5"/>
  <c r="X345" i="5"/>
  <c r="I443" i="5"/>
  <c r="V81" i="15" s="1"/>
  <c r="S68" i="14"/>
  <c r="W330" i="5"/>
  <c r="X340" i="5"/>
  <c r="X341" i="5"/>
  <c r="T69" i="13" s="1"/>
  <c r="C83" i="16"/>
  <c r="X346" i="5"/>
  <c r="W86" i="5"/>
  <c r="Y33" i="5"/>
  <c r="Z32" i="5"/>
  <c r="X343" i="5"/>
  <c r="D30" i="16"/>
  <c r="X181" i="5"/>
  <c r="Q121" i="16"/>
  <c r="W105" i="5"/>
  <c r="W491" i="5"/>
  <c r="E80" i="16"/>
  <c r="V494" i="5"/>
  <c r="X177" i="5"/>
  <c r="U81" i="13"/>
  <c r="W510" i="5"/>
  <c r="X180" i="5"/>
  <c r="X502" i="5"/>
  <c r="X505" i="5"/>
  <c r="T70" i="15" s="1"/>
  <c r="G50" i="15" s="1"/>
  <c r="X501" i="5"/>
  <c r="X508" i="5"/>
  <c r="X507" i="5"/>
  <c r="V170" i="5"/>
  <c r="X258" i="5"/>
  <c r="E36" i="16"/>
  <c r="X183" i="5"/>
  <c r="V251" i="5"/>
  <c r="X97" i="5"/>
  <c r="X98" i="5"/>
  <c r="D52" i="1"/>
  <c r="D80" i="16"/>
  <c r="E50" i="12"/>
  <c r="E54" i="12" s="1"/>
  <c r="R72" i="12"/>
  <c r="X96" i="5"/>
  <c r="X179" i="5"/>
  <c r="I450" i="5"/>
  <c r="I452" i="5"/>
  <c r="G8" i="15" s="1"/>
  <c r="G21" i="15" s="1"/>
  <c r="I45" i="5"/>
  <c r="I47" i="5"/>
  <c r="W29" i="5"/>
  <c r="Z229" i="5"/>
  <c r="Y262" i="5" s="1"/>
  <c r="Z472" i="5"/>
  <c r="Y504" i="5" s="1"/>
  <c r="Z310" i="5"/>
  <c r="Y343" i="5" s="1"/>
  <c r="W28" i="5"/>
  <c r="Z148" i="5"/>
  <c r="Y184" i="5" s="1"/>
  <c r="Z67" i="5"/>
  <c r="Y103" i="5" s="1"/>
  <c r="Z391" i="5"/>
  <c r="W27" i="5"/>
  <c r="W87" i="5"/>
  <c r="S70" i="14"/>
  <c r="F50" i="14" s="1"/>
  <c r="W411" i="5"/>
  <c r="U79" i="1"/>
  <c r="U79" i="11"/>
  <c r="W410" i="5"/>
  <c r="S68" i="15"/>
  <c r="I283" i="5"/>
  <c r="V83" i="13" s="1"/>
  <c r="I281" i="5"/>
  <c r="U78" i="13" s="1"/>
  <c r="I369" i="5"/>
  <c r="I371" i="5"/>
  <c r="W429" i="5"/>
  <c r="X99" i="5"/>
  <c r="R72" i="13"/>
  <c r="E21" i="19"/>
  <c r="W492" i="5"/>
  <c r="S70" i="15"/>
  <c r="F50" i="15" s="1"/>
  <c r="S69" i="11"/>
  <c r="F49" i="11" s="1"/>
  <c r="W169" i="5"/>
  <c r="W249" i="5"/>
  <c r="S70" i="12"/>
  <c r="F50" i="12" s="1"/>
  <c r="I363" i="5"/>
  <c r="V82" i="14" s="1"/>
  <c r="E15" i="11"/>
  <c r="R70" i="11"/>
  <c r="S68" i="1"/>
  <c r="W88" i="5"/>
  <c r="S69" i="1"/>
  <c r="S71" i="15"/>
  <c r="F51" i="15" s="1"/>
  <c r="W493" i="5"/>
  <c r="X102" i="5"/>
  <c r="X423" i="5"/>
  <c r="X424" i="5"/>
  <c r="X420" i="5"/>
  <c r="X427" i="5"/>
  <c r="X426" i="5"/>
  <c r="I201" i="5"/>
  <c r="V82" i="12" s="1"/>
  <c r="E52" i="11"/>
  <c r="S70" i="13"/>
  <c r="F50" i="13" s="1"/>
  <c r="S71" i="12"/>
  <c r="F51" i="12" s="1"/>
  <c r="W250" i="5"/>
  <c r="X262" i="5"/>
  <c r="X265" i="5"/>
  <c r="W329" i="5"/>
  <c r="S68" i="13"/>
  <c r="X260" i="5"/>
  <c r="T69" i="12" s="1"/>
  <c r="E50" i="15"/>
  <c r="E54" i="15" s="1"/>
  <c r="R72" i="15"/>
  <c r="E51" i="16"/>
  <c r="J315" i="5"/>
  <c r="J314" i="5" s="1"/>
  <c r="J137" i="5"/>
  <c r="J136" i="5" s="1"/>
  <c r="J380" i="5"/>
  <c r="J379" i="5" s="1"/>
  <c r="I122" i="5"/>
  <c r="V84" i="11" s="1"/>
  <c r="I203" i="5"/>
  <c r="V86" i="12" s="1"/>
  <c r="J372" i="5"/>
  <c r="J373" i="5" s="1"/>
  <c r="J425" i="5"/>
  <c r="J424" i="5" s="1"/>
  <c r="H17" i="14" s="1"/>
  <c r="J101" i="5"/>
  <c r="J100" i="5" s="1"/>
  <c r="I121" i="5"/>
  <c r="V81" i="11" s="1"/>
  <c r="J218" i="5"/>
  <c r="J217" i="5" s="1"/>
  <c r="J210" i="5"/>
  <c r="J211" i="5" s="1"/>
  <c r="J299" i="5"/>
  <c r="J298" i="5" s="1"/>
  <c r="W2" i="5"/>
  <c r="W105" i="16" s="1"/>
  <c r="J72" i="5"/>
  <c r="J71" i="5" s="1"/>
  <c r="I38" i="5"/>
  <c r="U76" i="1" s="1"/>
  <c r="J461" i="5"/>
  <c r="J460" i="5" s="1"/>
  <c r="J79" i="5"/>
  <c r="J78" i="5" s="1"/>
  <c r="I202" i="5"/>
  <c r="V83" i="12" s="1"/>
  <c r="J160" i="5"/>
  <c r="J159" i="5" s="1"/>
  <c r="J182" i="5"/>
  <c r="J181" i="5" s="1"/>
  <c r="J153" i="5"/>
  <c r="J152" i="5" s="1"/>
  <c r="V106" i="16"/>
  <c r="I284" i="5"/>
  <c r="V86" i="13" s="1"/>
  <c r="J291" i="5"/>
  <c r="J292" i="5" s="1"/>
  <c r="X30" i="5"/>
  <c r="J388" i="5"/>
  <c r="J387" i="5" s="1"/>
  <c r="I364" i="5"/>
  <c r="V83" i="14" s="1"/>
  <c r="I119" i="5"/>
  <c r="U76" i="11" s="1"/>
  <c r="J226" i="5"/>
  <c r="J225" i="5" s="1"/>
  <c r="J145" i="5"/>
  <c r="J144" i="5" s="1"/>
  <c r="J469" i="5"/>
  <c r="J468" i="5" s="1"/>
  <c r="J477" i="5"/>
  <c r="J476" i="5" s="1"/>
  <c r="I40" i="5"/>
  <c r="V81" i="1" s="1"/>
  <c r="J506" i="5"/>
  <c r="J505" i="5" s="1"/>
  <c r="J241" i="5"/>
  <c r="J240" i="5" s="1"/>
  <c r="J307" i="5"/>
  <c r="J306" i="5" s="1"/>
  <c r="I41" i="5"/>
  <c r="V84" i="1" s="1"/>
  <c r="J263" i="5"/>
  <c r="J262" i="5" s="1"/>
  <c r="I120" i="5"/>
  <c r="V80" i="11" s="1"/>
  <c r="J129" i="5"/>
  <c r="J130" i="5" s="1"/>
  <c r="J396" i="5"/>
  <c r="J395" i="5" s="1"/>
  <c r="J484" i="5"/>
  <c r="J483" i="5" s="1"/>
  <c r="J48" i="5"/>
  <c r="J49" i="5" s="1"/>
  <c r="I39" i="5"/>
  <c r="V80" i="1" s="1"/>
  <c r="I444" i="5"/>
  <c r="V82" i="15" s="1"/>
  <c r="J64" i="5"/>
  <c r="J63" i="5" s="1"/>
  <c r="J344" i="5"/>
  <c r="J343" i="5" s="1"/>
  <c r="J403" i="5"/>
  <c r="J402" i="5" s="1"/>
  <c r="J234" i="5"/>
  <c r="J233" i="5" s="1"/>
  <c r="J322" i="5"/>
  <c r="J321" i="5" s="1"/>
  <c r="J56" i="5"/>
  <c r="J55" i="5" s="1"/>
  <c r="J453" i="5"/>
  <c r="J454" i="5" s="1"/>
  <c r="I446" i="5"/>
  <c r="V86" i="15" s="1"/>
  <c r="I128" i="5"/>
  <c r="G8" i="11" s="1"/>
  <c r="G20" i="11" s="1"/>
  <c r="G39" i="16" s="1"/>
  <c r="I126" i="5"/>
  <c r="I207" i="5"/>
  <c r="I209" i="5"/>
  <c r="G8" i="12" s="1"/>
  <c r="X264" i="5"/>
  <c r="R120" i="16"/>
  <c r="F20" i="19" s="1"/>
  <c r="W167" i="5"/>
  <c r="W186" i="5"/>
  <c r="S66" i="11"/>
  <c r="U81" i="14"/>
  <c r="X259" i="5"/>
  <c r="W348" i="5"/>
  <c r="X261" i="5"/>
  <c r="U81" i="12"/>
  <c r="U81" i="15"/>
  <c r="I362" i="5"/>
  <c r="U78" i="14" s="1"/>
  <c r="V89" i="5"/>
  <c r="X503" i="5"/>
  <c r="D79" i="16"/>
  <c r="D52" i="11"/>
  <c r="E48" i="1"/>
  <c r="R119" i="16"/>
  <c r="F19" i="19" s="1"/>
  <c r="X178" i="5"/>
  <c r="I445" i="5"/>
  <c r="V83" i="15" s="1"/>
  <c r="I282" i="5"/>
  <c r="V82" i="13" s="1"/>
  <c r="S71" i="13"/>
  <c r="F51" i="13" s="1"/>
  <c r="G31" i="16"/>
  <c r="F15" i="1"/>
  <c r="S68" i="11"/>
  <c r="F48" i="11" s="1"/>
  <c r="W168" i="5"/>
  <c r="S68" i="12"/>
  <c r="W248" i="5"/>
  <c r="W267" i="5"/>
  <c r="I290" i="5"/>
  <c r="G8" i="13" s="1"/>
  <c r="I288" i="5"/>
  <c r="W331" i="5"/>
  <c r="AN8" i="5"/>
  <c r="AO7" i="5"/>
  <c r="AP6" i="5" s="1"/>
  <c r="AA474" i="5"/>
  <c r="Z475" i="5"/>
  <c r="I256" i="5"/>
  <c r="J253" i="5"/>
  <c r="I259" i="5"/>
  <c r="H260" i="5"/>
  <c r="H16" i="12" s="1"/>
  <c r="AC476" i="5"/>
  <c r="AC152" i="5"/>
  <c r="AC233" i="5"/>
  <c r="AC395" i="5"/>
  <c r="AC71" i="5"/>
  <c r="AA35" i="5"/>
  <c r="AC314" i="5"/>
  <c r="J429" i="5"/>
  <c r="J98" i="5"/>
  <c r="J16" i="1" s="1"/>
  <c r="K94" i="5"/>
  <c r="K97" i="5"/>
  <c r="J341" i="5"/>
  <c r="J16" i="13" s="1"/>
  <c r="E6" i="10"/>
  <c r="E6" i="4"/>
  <c r="F5" i="1"/>
  <c r="E6" i="9"/>
  <c r="E6" i="7"/>
  <c r="E6" i="8"/>
  <c r="AB477" i="5"/>
  <c r="AB153" i="5"/>
  <c r="AC72" i="5"/>
  <c r="AC396" i="5"/>
  <c r="AB234" i="5"/>
  <c r="AC315" i="5"/>
  <c r="J179" i="5"/>
  <c r="J16" i="11" s="1"/>
  <c r="H503" i="5"/>
  <c r="H16" i="15" s="1"/>
  <c r="K337" i="5"/>
  <c r="K340" i="5"/>
  <c r="K175" i="5"/>
  <c r="K178" i="5"/>
  <c r="J422" i="5"/>
  <c r="J16" i="14" s="1"/>
  <c r="J496" i="5"/>
  <c r="I499" i="5"/>
  <c r="I502" i="5"/>
  <c r="K418" i="5"/>
  <c r="K421" i="5"/>
  <c r="AB230" i="5"/>
  <c r="AA232" i="5"/>
  <c r="AC312" i="5"/>
  <c r="AD69" i="5"/>
  <c r="AE69" i="5" s="1"/>
  <c r="AF69" i="5" s="1"/>
  <c r="AB231" i="5"/>
  <c r="AC68" i="5"/>
  <c r="AB70" i="5"/>
  <c r="F14" i="19"/>
  <c r="E15" i="19"/>
  <c r="AD392" i="5"/>
  <c r="AA393" i="5"/>
  <c r="Z394" i="5"/>
  <c r="AE149" i="5"/>
  <c r="AB313" i="5"/>
  <c r="AC311" i="5"/>
  <c r="D27" i="11" l="1"/>
  <c r="B28" i="12"/>
  <c r="C55" i="12"/>
  <c r="C56" i="12" s="1"/>
  <c r="C64" i="12" s="1"/>
  <c r="U78" i="15"/>
  <c r="F15" i="14"/>
  <c r="T69" i="15"/>
  <c r="T67" i="11"/>
  <c r="F22" i="14"/>
  <c r="F49" i="16" s="1"/>
  <c r="T68" i="13"/>
  <c r="G15" i="13" s="1"/>
  <c r="E56" i="16"/>
  <c r="D53" i="11"/>
  <c r="D54" i="11" s="1"/>
  <c r="D62" i="11" s="1"/>
  <c r="T67" i="1"/>
  <c r="T118" i="16" s="1"/>
  <c r="C33" i="16"/>
  <c r="C34" i="16" s="1"/>
  <c r="F23" i="13"/>
  <c r="F47" i="16" s="1"/>
  <c r="F19" i="16"/>
  <c r="G17" i="16"/>
  <c r="G21" i="13"/>
  <c r="G45" i="16" s="1"/>
  <c r="B84" i="16"/>
  <c r="B58" i="16"/>
  <c r="F22" i="1"/>
  <c r="F38" i="16" s="1"/>
  <c r="F10" i="16"/>
  <c r="F22" i="16"/>
  <c r="F23" i="14"/>
  <c r="F50" i="16" s="1"/>
  <c r="E29" i="16"/>
  <c r="G14" i="12"/>
  <c r="G25" i="12" s="1"/>
  <c r="D19" i="13"/>
  <c r="E55" i="16"/>
  <c r="F13" i="15"/>
  <c r="F24" i="15" s="1"/>
  <c r="E13" i="15"/>
  <c r="G17" i="13"/>
  <c r="G26" i="13" s="1"/>
  <c r="E25" i="16"/>
  <c r="E11" i="15"/>
  <c r="E23" i="15"/>
  <c r="E53" i="16" s="1"/>
  <c r="F13" i="12"/>
  <c r="F24" i="12" s="1"/>
  <c r="E13" i="12"/>
  <c r="D24" i="14"/>
  <c r="D27" i="14" s="1"/>
  <c r="D19" i="14"/>
  <c r="E19" i="13"/>
  <c r="F11" i="14"/>
  <c r="G9" i="11"/>
  <c r="G12" i="16" s="1"/>
  <c r="F22" i="11"/>
  <c r="F41" i="16" s="1"/>
  <c r="F14" i="1"/>
  <c r="F10" i="12"/>
  <c r="G14" i="13"/>
  <c r="G25" i="13" s="1"/>
  <c r="G13" i="11"/>
  <c r="G23" i="11" s="1"/>
  <c r="E27" i="13"/>
  <c r="E13" i="16"/>
  <c r="E11" i="11"/>
  <c r="E22" i="11"/>
  <c r="F14" i="11"/>
  <c r="F24" i="11" s="1"/>
  <c r="D52" i="16"/>
  <c r="D27" i="15"/>
  <c r="D55" i="15" s="1"/>
  <c r="D56" i="15" s="1"/>
  <c r="D64" i="15" s="1"/>
  <c r="C27" i="14"/>
  <c r="C55" i="14" s="1"/>
  <c r="C56" i="14" s="1"/>
  <c r="C64" i="14" s="1"/>
  <c r="C54" i="16"/>
  <c r="F11" i="13"/>
  <c r="G17" i="11"/>
  <c r="G25" i="11" s="1"/>
  <c r="E18" i="1"/>
  <c r="F14" i="12"/>
  <c r="F25" i="12" s="1"/>
  <c r="F17" i="13"/>
  <c r="F26" i="13" s="1"/>
  <c r="F17" i="15"/>
  <c r="F26" i="15" s="1"/>
  <c r="E19" i="14"/>
  <c r="G13" i="1"/>
  <c r="G23" i="1" s="1"/>
  <c r="G14" i="14"/>
  <c r="G25" i="14" s="1"/>
  <c r="F22" i="13"/>
  <c r="F46" i="16" s="1"/>
  <c r="G17" i="1"/>
  <c r="G25" i="1" s="1"/>
  <c r="F17" i="12"/>
  <c r="F26" i="12" s="1"/>
  <c r="D26" i="12"/>
  <c r="D32" i="16"/>
  <c r="D49" i="16"/>
  <c r="F13" i="11"/>
  <c r="F23" i="11" s="1"/>
  <c r="E13" i="11"/>
  <c r="E18" i="11" s="1"/>
  <c r="F13" i="1"/>
  <c r="F23" i="1" s="1"/>
  <c r="D26" i="16"/>
  <c r="B53" i="11"/>
  <c r="B54" i="11" s="1"/>
  <c r="B62" i="11" s="1"/>
  <c r="B100" i="16" s="1"/>
  <c r="B27" i="11"/>
  <c r="E21" i="16"/>
  <c r="E22" i="14"/>
  <c r="E11" i="14"/>
  <c r="E32" i="16"/>
  <c r="G10" i="11"/>
  <c r="G13" i="16" s="1"/>
  <c r="F9" i="12"/>
  <c r="G9" i="13"/>
  <c r="G18" i="16" s="1"/>
  <c r="F12" i="16"/>
  <c r="F17" i="1"/>
  <c r="F9" i="1"/>
  <c r="F9" i="15"/>
  <c r="D23" i="1"/>
  <c r="D28" i="16"/>
  <c r="C26" i="1"/>
  <c r="C55" i="16"/>
  <c r="G10" i="1"/>
  <c r="G22" i="1" s="1"/>
  <c r="G38" i="16" s="1"/>
  <c r="G14" i="15"/>
  <c r="G25" i="15" s="1"/>
  <c r="F11" i="11"/>
  <c r="F10" i="15"/>
  <c r="D46" i="16"/>
  <c r="D27" i="13"/>
  <c r="G23" i="16"/>
  <c r="E26" i="1"/>
  <c r="G8" i="16"/>
  <c r="G21" i="14"/>
  <c r="G48" i="16" s="1"/>
  <c r="G11" i="16"/>
  <c r="F21" i="19"/>
  <c r="T70" i="13"/>
  <c r="G50" i="13" s="1"/>
  <c r="J215" i="5"/>
  <c r="J296" i="5"/>
  <c r="J377" i="5"/>
  <c r="J53" i="5"/>
  <c r="J458" i="5"/>
  <c r="J138" i="5"/>
  <c r="I142" i="5"/>
  <c r="J242" i="5"/>
  <c r="I245" i="5" s="1"/>
  <c r="J404" i="5"/>
  <c r="I407" i="5" s="1"/>
  <c r="J219" i="5"/>
  <c r="I223" i="5"/>
  <c r="J264" i="5"/>
  <c r="I267" i="5" s="1"/>
  <c r="J57" i="5"/>
  <c r="I61" i="5"/>
  <c r="G9" i="1" s="1"/>
  <c r="J308" i="5"/>
  <c r="I312" i="5"/>
  <c r="J478" i="5"/>
  <c r="J485" i="5"/>
  <c r="I488" i="5" s="1"/>
  <c r="J161" i="5"/>
  <c r="I164" i="5" s="1"/>
  <c r="J316" i="5"/>
  <c r="I319" i="5" s="1"/>
  <c r="J154" i="5"/>
  <c r="I157" i="5" s="1"/>
  <c r="J300" i="5"/>
  <c r="I304" i="5"/>
  <c r="J389" i="5"/>
  <c r="I393" i="5"/>
  <c r="G10" i="14" s="1"/>
  <c r="J235" i="5"/>
  <c r="I238" i="5" s="1"/>
  <c r="J134" i="5"/>
  <c r="H8" i="11"/>
  <c r="H20" i="11" s="1"/>
  <c r="J102" i="5"/>
  <c r="I105" i="5" s="1"/>
  <c r="J507" i="5"/>
  <c r="I510" i="5" s="1"/>
  <c r="J397" i="5"/>
  <c r="H400" i="5"/>
  <c r="J227" i="5"/>
  <c r="I231" i="5"/>
  <c r="J470" i="5"/>
  <c r="I474" i="5"/>
  <c r="G10" i="15" s="1"/>
  <c r="J146" i="5"/>
  <c r="I150" i="5"/>
  <c r="J345" i="5"/>
  <c r="I348" i="5" s="1"/>
  <c r="J381" i="5"/>
  <c r="I385" i="5"/>
  <c r="J323" i="5"/>
  <c r="I326" i="5" s="1"/>
  <c r="J462" i="5"/>
  <c r="I466" i="5"/>
  <c r="J183" i="5"/>
  <c r="I186" i="5" s="1"/>
  <c r="J80" i="5"/>
  <c r="J65" i="5"/>
  <c r="I69" i="5"/>
  <c r="J73" i="5"/>
  <c r="I76" i="5" s="1"/>
  <c r="F54" i="14"/>
  <c r="F15" i="19"/>
  <c r="W494" i="5"/>
  <c r="E30" i="16"/>
  <c r="T71" i="13"/>
  <c r="G51" i="13" s="1"/>
  <c r="X330" i="5"/>
  <c r="F54" i="13"/>
  <c r="T68" i="14"/>
  <c r="G15" i="14" s="1"/>
  <c r="X331" i="5"/>
  <c r="Y264" i="5"/>
  <c r="AC150" i="5"/>
  <c r="AB151" i="5"/>
  <c r="X329" i="5"/>
  <c r="Y501" i="5"/>
  <c r="W89" i="5"/>
  <c r="S72" i="14"/>
  <c r="H31" i="16"/>
  <c r="Y183" i="5"/>
  <c r="Y169" i="5" s="1"/>
  <c r="W413" i="5"/>
  <c r="H26" i="14"/>
  <c r="F54" i="15"/>
  <c r="R121" i="16"/>
  <c r="F52" i="11"/>
  <c r="Y97" i="5"/>
  <c r="S117" i="16"/>
  <c r="G13" i="19" s="1"/>
  <c r="G15" i="19" s="1"/>
  <c r="X412" i="5"/>
  <c r="X491" i="5"/>
  <c r="T68" i="15"/>
  <c r="X348" i="5"/>
  <c r="AA32" i="5"/>
  <c r="Z33" i="5"/>
  <c r="T71" i="12"/>
  <c r="G51" i="12" s="1"/>
  <c r="X250" i="5"/>
  <c r="Y424" i="5"/>
  <c r="Y423" i="5"/>
  <c r="Y420" i="5"/>
  <c r="Y426" i="5"/>
  <c r="Y421" i="5"/>
  <c r="X28" i="5"/>
  <c r="AA229" i="5"/>
  <c r="Z259" i="5" s="1"/>
  <c r="X29" i="5"/>
  <c r="X27" i="5"/>
  <c r="AA391" i="5"/>
  <c r="Z420" i="5" s="1"/>
  <c r="AA67" i="5"/>
  <c r="Z103" i="5" s="1"/>
  <c r="AA472" i="5"/>
  <c r="Z504" i="5" s="1"/>
  <c r="AA148" i="5"/>
  <c r="Z179" i="5" s="1"/>
  <c r="AA310" i="5"/>
  <c r="J363" i="5"/>
  <c r="W82" i="14" s="1"/>
  <c r="K453" i="5"/>
  <c r="K454" i="5" s="1"/>
  <c r="K396" i="5"/>
  <c r="K395" i="5" s="1"/>
  <c r="K226" i="5"/>
  <c r="K225" i="5" s="1"/>
  <c r="K307" i="5"/>
  <c r="K306" i="5" s="1"/>
  <c r="K129" i="5"/>
  <c r="K130" i="5" s="1"/>
  <c r="K137" i="5"/>
  <c r="K136" i="5" s="1"/>
  <c r="K469" i="5"/>
  <c r="K468" i="5" s="1"/>
  <c r="K241" i="5"/>
  <c r="K240" i="5" s="1"/>
  <c r="K299" i="5"/>
  <c r="K298" i="5" s="1"/>
  <c r="K182" i="5"/>
  <c r="K181" i="5" s="1"/>
  <c r="K218" i="5"/>
  <c r="K217" i="5" s="1"/>
  <c r="J443" i="5"/>
  <c r="V78" i="15" s="1"/>
  <c r="K403" i="5"/>
  <c r="K402" i="5" s="1"/>
  <c r="K234" i="5"/>
  <c r="K233" i="5" s="1"/>
  <c r="K388" i="5"/>
  <c r="K387" i="5" s="1"/>
  <c r="J282" i="5"/>
  <c r="W82" i="13" s="1"/>
  <c r="J444" i="5"/>
  <c r="W82" i="15" s="1"/>
  <c r="W106" i="16"/>
  <c r="Y30" i="5"/>
  <c r="X2" i="5"/>
  <c r="K202" i="5" s="1"/>
  <c r="X83" i="12" s="1"/>
  <c r="K461" i="5"/>
  <c r="K460" i="5" s="1"/>
  <c r="K48" i="5"/>
  <c r="K49" i="5" s="1"/>
  <c r="K72" i="5"/>
  <c r="K71" i="5" s="1"/>
  <c r="K56" i="5"/>
  <c r="K55" i="5" s="1"/>
  <c r="K79" i="5"/>
  <c r="K78" i="5" s="1"/>
  <c r="K506" i="5"/>
  <c r="K505" i="5" s="1"/>
  <c r="K344" i="5"/>
  <c r="K343" i="5" s="1"/>
  <c r="K315" i="5"/>
  <c r="K314" i="5" s="1"/>
  <c r="K291" i="5"/>
  <c r="K292" i="5" s="1"/>
  <c r="K322" i="5"/>
  <c r="K321" i="5" s="1"/>
  <c r="K64" i="5"/>
  <c r="K63" i="5" s="1"/>
  <c r="K160" i="5"/>
  <c r="K159" i="5" s="1"/>
  <c r="K477" i="5"/>
  <c r="K476" i="5" s="1"/>
  <c r="K210" i="5"/>
  <c r="K211" i="5" s="1"/>
  <c r="K425" i="5"/>
  <c r="K424" i="5" s="1"/>
  <c r="I17" i="14" s="1"/>
  <c r="K153" i="5"/>
  <c r="K152" i="5" s="1"/>
  <c r="K484" i="5"/>
  <c r="K483" i="5" s="1"/>
  <c r="K380" i="5"/>
  <c r="K379" i="5" s="1"/>
  <c r="K372" i="5"/>
  <c r="K373" i="5" s="1"/>
  <c r="K101" i="5"/>
  <c r="K100" i="5" s="1"/>
  <c r="K263" i="5"/>
  <c r="K262" i="5" s="1"/>
  <c r="K145" i="5"/>
  <c r="K144" i="5" s="1"/>
  <c r="F48" i="1"/>
  <c r="S119" i="16"/>
  <c r="S70" i="1"/>
  <c r="Y102" i="5"/>
  <c r="Y96" i="5"/>
  <c r="J40" i="5"/>
  <c r="W81" i="1" s="1"/>
  <c r="J290" i="5"/>
  <c r="H8" i="13" s="1"/>
  <c r="H17" i="16" s="1"/>
  <c r="J288" i="5"/>
  <c r="J362" i="5"/>
  <c r="V78" i="14" s="1"/>
  <c r="J120" i="5"/>
  <c r="W80" i="11" s="1"/>
  <c r="Y502" i="5"/>
  <c r="X429" i="5"/>
  <c r="G21" i="12"/>
  <c r="G14" i="16"/>
  <c r="X249" i="5"/>
  <c r="T70" i="12"/>
  <c r="G50" i="12" s="1"/>
  <c r="S72" i="13"/>
  <c r="F15" i="13"/>
  <c r="V81" i="13"/>
  <c r="X105" i="5"/>
  <c r="T66" i="1"/>
  <c r="X86" i="5"/>
  <c r="Y98" i="5"/>
  <c r="X248" i="5"/>
  <c r="X267" i="5"/>
  <c r="T68" i="12"/>
  <c r="G51" i="16"/>
  <c r="Y181" i="5"/>
  <c r="X410" i="5"/>
  <c r="J209" i="5"/>
  <c r="H8" i="12" s="1"/>
  <c r="H14" i="16" s="1"/>
  <c r="J207" i="5"/>
  <c r="W332" i="5"/>
  <c r="T71" i="14"/>
  <c r="G51" i="14" s="1"/>
  <c r="F49" i="1"/>
  <c r="F80" i="16" s="1"/>
  <c r="S120" i="16"/>
  <c r="G20" i="19" s="1"/>
  <c r="T68" i="1"/>
  <c r="X87" i="5"/>
  <c r="Y346" i="5"/>
  <c r="Y339" i="5"/>
  <c r="Y345" i="5"/>
  <c r="Y340" i="5"/>
  <c r="Y341" i="5"/>
  <c r="U69" i="13" s="1"/>
  <c r="Y342" i="5"/>
  <c r="X88" i="5"/>
  <c r="T69" i="1"/>
  <c r="X510" i="5"/>
  <c r="F15" i="11"/>
  <c r="S70" i="11"/>
  <c r="J47" i="5"/>
  <c r="H8" i="1" s="1"/>
  <c r="H20" i="1" s="1"/>
  <c r="H36" i="16" s="1"/>
  <c r="J45" i="5"/>
  <c r="F15" i="15"/>
  <c r="S72" i="15"/>
  <c r="Y507" i="5"/>
  <c r="Y508" i="5"/>
  <c r="Y503" i="5"/>
  <c r="J201" i="5"/>
  <c r="W82" i="12" s="1"/>
  <c r="X493" i="5"/>
  <c r="T71" i="15"/>
  <c r="G51" i="15" s="1"/>
  <c r="G54" i="15" s="1"/>
  <c r="Y178" i="5"/>
  <c r="E79" i="16"/>
  <c r="E83" i="16" s="1"/>
  <c r="E52" i="1"/>
  <c r="Y265" i="5"/>
  <c r="Y179" i="5"/>
  <c r="J41" i="5"/>
  <c r="W84" i="1" s="1"/>
  <c r="J128" i="5"/>
  <c r="J126" i="5"/>
  <c r="Y427" i="5"/>
  <c r="Y180" i="5"/>
  <c r="D83" i="16"/>
  <c r="J203" i="5"/>
  <c r="W86" i="12" s="1"/>
  <c r="J122" i="5"/>
  <c r="W84" i="11" s="1"/>
  <c r="T70" i="14"/>
  <c r="X411" i="5"/>
  <c r="T69" i="11"/>
  <c r="G49" i="11" s="1"/>
  <c r="X169" i="5"/>
  <c r="Y258" i="5"/>
  <c r="X167" i="5"/>
  <c r="T66" i="11"/>
  <c r="X186" i="5"/>
  <c r="W251" i="5"/>
  <c r="V81" i="14"/>
  <c r="V79" i="11"/>
  <c r="J369" i="5"/>
  <c r="J371" i="5"/>
  <c r="H8" i="14" s="1"/>
  <c r="H20" i="16" s="1"/>
  <c r="X492" i="5"/>
  <c r="Y99" i="5"/>
  <c r="Y177" i="5"/>
  <c r="T68" i="11"/>
  <c r="G48" i="11" s="1"/>
  <c r="X168" i="5"/>
  <c r="W170" i="5"/>
  <c r="J450" i="5"/>
  <c r="J452" i="5"/>
  <c r="H8" i="15" s="1"/>
  <c r="J119" i="5"/>
  <c r="V76" i="11" s="1"/>
  <c r="F54" i="12"/>
  <c r="J121" i="5"/>
  <c r="W81" i="11" s="1"/>
  <c r="Y100" i="5"/>
  <c r="J284" i="5"/>
  <c r="W86" i="13" s="1"/>
  <c r="Y261" i="5"/>
  <c r="Y422" i="5"/>
  <c r="F15" i="12"/>
  <c r="S72" i="12"/>
  <c r="V79" i="1"/>
  <c r="Y259" i="5"/>
  <c r="Y260" i="5"/>
  <c r="Y505" i="5"/>
  <c r="Y492" i="5" s="1"/>
  <c r="AO8" i="5"/>
  <c r="AA475" i="5"/>
  <c r="AB474" i="5"/>
  <c r="K253" i="5"/>
  <c r="J256" i="5"/>
  <c r="J259" i="5"/>
  <c r="AD476" i="5"/>
  <c r="AD152" i="5"/>
  <c r="AD395" i="5"/>
  <c r="AD233" i="5"/>
  <c r="AE233" i="5" s="1"/>
  <c r="AB35" i="5"/>
  <c r="AD314" i="5"/>
  <c r="AD71" i="5"/>
  <c r="I260" i="5"/>
  <c r="I16" i="12" s="1"/>
  <c r="AP7" i="5"/>
  <c r="AP8" i="5" s="1"/>
  <c r="K429" i="5"/>
  <c r="K98" i="5"/>
  <c r="K16" i="1" s="1"/>
  <c r="L16" i="1" s="1"/>
  <c r="F5" i="8"/>
  <c r="F5" i="9"/>
  <c r="F5" i="10"/>
  <c r="F5" i="7"/>
  <c r="F5" i="4"/>
  <c r="F6" i="1"/>
  <c r="K422" i="5"/>
  <c r="K16" i="14" s="1"/>
  <c r="L16" i="14" s="1"/>
  <c r="AD396" i="5"/>
  <c r="AE396" i="5" s="1"/>
  <c r="AC477" i="5"/>
  <c r="AC234" i="5"/>
  <c r="AD72" i="5"/>
  <c r="AE72" i="5" s="1"/>
  <c r="AD315" i="5"/>
  <c r="AE315" i="5" s="1"/>
  <c r="AC153" i="5"/>
  <c r="I503" i="5"/>
  <c r="I16" i="15" s="1"/>
  <c r="K179" i="5"/>
  <c r="K16" i="11" s="1"/>
  <c r="L16" i="11" s="1"/>
  <c r="K341" i="5"/>
  <c r="K16" i="13" s="1"/>
  <c r="L16" i="13" s="1"/>
  <c r="K496" i="5"/>
  <c r="J499" i="5"/>
  <c r="J502" i="5"/>
  <c r="AE392" i="5"/>
  <c r="AB232" i="5"/>
  <c r="AC230" i="5"/>
  <c r="AD312" i="5"/>
  <c r="AE312" i="5" s="1"/>
  <c r="AC70" i="5"/>
  <c r="AD68" i="5"/>
  <c r="AD311" i="5"/>
  <c r="AC313" i="5"/>
  <c r="AB393" i="5"/>
  <c r="AA394" i="5"/>
  <c r="AC231" i="5"/>
  <c r="H21" i="15" l="1"/>
  <c r="H51" i="16" s="1"/>
  <c r="B87" i="16"/>
  <c r="B90" i="16" s="1"/>
  <c r="F19" i="13"/>
  <c r="F55" i="13" s="1"/>
  <c r="F56" i="13" s="1"/>
  <c r="F64" i="13" s="1"/>
  <c r="U69" i="12"/>
  <c r="G15" i="15"/>
  <c r="U67" i="11"/>
  <c r="U69" i="15"/>
  <c r="G21" i="11"/>
  <c r="G40" i="16" s="1"/>
  <c r="U69" i="14"/>
  <c r="U67" i="1"/>
  <c r="U118" i="16" s="1"/>
  <c r="D28" i="15"/>
  <c r="D33" i="16"/>
  <c r="D34" i="16" s="1"/>
  <c r="F19" i="15"/>
  <c r="G54" i="13"/>
  <c r="S72" i="11"/>
  <c r="E27" i="1"/>
  <c r="E28" i="13"/>
  <c r="C28" i="14"/>
  <c r="F19" i="12"/>
  <c r="F26" i="11"/>
  <c r="G25" i="16"/>
  <c r="G23" i="15"/>
  <c r="G53" i="16" s="1"/>
  <c r="G22" i="16"/>
  <c r="G23" i="14"/>
  <c r="G50" i="16" s="1"/>
  <c r="G21" i="1"/>
  <c r="G37" i="16" s="1"/>
  <c r="G9" i="16"/>
  <c r="G11" i="1"/>
  <c r="E41" i="16"/>
  <c r="R72" i="11"/>
  <c r="H10" i="1"/>
  <c r="H10" i="16" s="1"/>
  <c r="F25" i="16"/>
  <c r="F23" i="15"/>
  <c r="F53" i="16" s="1"/>
  <c r="F15" i="16"/>
  <c r="F22" i="12"/>
  <c r="F11" i="12"/>
  <c r="H9" i="15"/>
  <c r="C57" i="16"/>
  <c r="H14" i="12"/>
  <c r="H25" i="12" s="1"/>
  <c r="G11" i="11"/>
  <c r="C27" i="1"/>
  <c r="C53" i="1"/>
  <c r="C54" i="1" s="1"/>
  <c r="F18" i="1"/>
  <c r="F16" i="16"/>
  <c r="F23" i="12"/>
  <c r="F44" i="16" s="1"/>
  <c r="D55" i="13"/>
  <c r="D56" i="13" s="1"/>
  <c r="D64" i="13" s="1"/>
  <c r="D28" i="13"/>
  <c r="G22" i="11"/>
  <c r="G41" i="16" s="1"/>
  <c r="E55" i="13"/>
  <c r="E56" i="13" s="1"/>
  <c r="E64" i="13" s="1"/>
  <c r="G22" i="13"/>
  <c r="G46" i="16" s="1"/>
  <c r="G10" i="16"/>
  <c r="D56" i="16"/>
  <c r="D27" i="12"/>
  <c r="F24" i="1"/>
  <c r="F55" i="16" s="1"/>
  <c r="F29" i="16"/>
  <c r="G17" i="12"/>
  <c r="G26" i="12" s="1"/>
  <c r="E23" i="11"/>
  <c r="E26" i="11" s="1"/>
  <c r="E53" i="11" s="1"/>
  <c r="E54" i="11" s="1"/>
  <c r="E62" i="11" s="1"/>
  <c r="E28" i="16"/>
  <c r="E33" i="16" s="1"/>
  <c r="D55" i="14"/>
  <c r="D56" i="14" s="1"/>
  <c r="D64" i="14" s="1"/>
  <c r="D28" i="14"/>
  <c r="H10" i="12"/>
  <c r="H16" i="16" s="1"/>
  <c r="H9" i="14"/>
  <c r="H21" i="16" s="1"/>
  <c r="D54" i="16"/>
  <c r="D26" i="1"/>
  <c r="E49" i="16"/>
  <c r="E27" i="14"/>
  <c r="G10" i="12"/>
  <c r="E26" i="16"/>
  <c r="H13" i="13"/>
  <c r="H24" i="13" s="1"/>
  <c r="H17" i="11"/>
  <c r="H25" i="11" s="1"/>
  <c r="G9" i="12"/>
  <c r="E24" i="12"/>
  <c r="E27" i="12" s="1"/>
  <c r="E19" i="12"/>
  <c r="F24" i="16"/>
  <c r="F11" i="15"/>
  <c r="F22" i="15"/>
  <c r="F18" i="11"/>
  <c r="F13" i="14"/>
  <c r="H10" i="13"/>
  <c r="H19" i="16" s="1"/>
  <c r="G13" i="13"/>
  <c r="G24" i="13" s="1"/>
  <c r="H17" i="13"/>
  <c r="H26" i="13" s="1"/>
  <c r="H9" i="11"/>
  <c r="H12" i="16" s="1"/>
  <c r="F27" i="13"/>
  <c r="F9" i="16"/>
  <c r="F11" i="1"/>
  <c r="F21" i="1"/>
  <c r="G9" i="14"/>
  <c r="G13" i="12"/>
  <c r="G24" i="12" s="1"/>
  <c r="E24" i="15"/>
  <c r="E27" i="15" s="1"/>
  <c r="E19" i="15"/>
  <c r="H10" i="11"/>
  <c r="H13" i="16" s="1"/>
  <c r="H17" i="15"/>
  <c r="H26" i="15" s="1"/>
  <c r="F25" i="1"/>
  <c r="F56" i="16" s="1"/>
  <c r="F32" i="16"/>
  <c r="G10" i="13"/>
  <c r="G11" i="13" s="1"/>
  <c r="G14" i="11"/>
  <c r="G24" i="11" s="1"/>
  <c r="G9" i="15"/>
  <c r="G17" i="15"/>
  <c r="G26" i="15" s="1"/>
  <c r="H8" i="16"/>
  <c r="E53" i="1"/>
  <c r="E54" i="1" s="1"/>
  <c r="E62" i="1" s="1"/>
  <c r="H21" i="14"/>
  <c r="H48" i="16" s="1"/>
  <c r="H21" i="13"/>
  <c r="H45" i="16" s="1"/>
  <c r="H11" i="16"/>
  <c r="H23" i="16"/>
  <c r="Z177" i="5"/>
  <c r="I8" i="14"/>
  <c r="I20" i="16" s="1"/>
  <c r="K134" i="5"/>
  <c r="K296" i="5"/>
  <c r="K377" i="5"/>
  <c r="K215" i="5"/>
  <c r="K53" i="5"/>
  <c r="K397" i="5"/>
  <c r="K478" i="5"/>
  <c r="K242" i="5"/>
  <c r="J245" i="5" s="1"/>
  <c r="K65" i="5"/>
  <c r="J69" i="5"/>
  <c r="K507" i="5"/>
  <c r="J510" i="5" s="1"/>
  <c r="K235" i="5"/>
  <c r="J238" i="5" s="1"/>
  <c r="K308" i="5"/>
  <c r="J312" i="5"/>
  <c r="L454" i="5"/>
  <c r="K458" i="5"/>
  <c r="I8" i="15" s="1"/>
  <c r="I23" i="16" s="1"/>
  <c r="K154" i="5"/>
  <c r="K80" i="5"/>
  <c r="J83" i="5" s="1"/>
  <c r="K102" i="5"/>
  <c r="J105" i="5" s="1"/>
  <c r="H17" i="1" s="1"/>
  <c r="I83" i="5"/>
  <c r="K345" i="5"/>
  <c r="J348" i="5" s="1"/>
  <c r="K227" i="5"/>
  <c r="J231" i="5"/>
  <c r="K389" i="5"/>
  <c r="J393" i="5"/>
  <c r="K161" i="5"/>
  <c r="J164" i="5" s="1"/>
  <c r="K264" i="5"/>
  <c r="J267" i="5" s="1"/>
  <c r="K138" i="5"/>
  <c r="J142" i="5"/>
  <c r="K183" i="5"/>
  <c r="J186" i="5" s="1"/>
  <c r="K381" i="5"/>
  <c r="J385" i="5"/>
  <c r="K470" i="5"/>
  <c r="J474" i="5"/>
  <c r="H10" i="15" s="1"/>
  <c r="K316" i="5"/>
  <c r="J319" i="5" s="1"/>
  <c r="K57" i="5"/>
  <c r="J61" i="5"/>
  <c r="H9" i="1" s="1"/>
  <c r="K146" i="5"/>
  <c r="J150" i="5"/>
  <c r="K300" i="5"/>
  <c r="J304" i="5"/>
  <c r="K485" i="5"/>
  <c r="J488" i="5" s="1"/>
  <c r="H14" i="15" s="1"/>
  <c r="H25" i="15" s="1"/>
  <c r="K219" i="5"/>
  <c r="J223" i="5"/>
  <c r="H9" i="12" s="1"/>
  <c r="K462" i="5"/>
  <c r="J466" i="5"/>
  <c r="K323" i="5"/>
  <c r="J326" i="5" s="1"/>
  <c r="K73" i="5"/>
  <c r="I400" i="5"/>
  <c r="G13" i="14" s="1"/>
  <c r="I481" i="5"/>
  <c r="K404" i="5"/>
  <c r="T72" i="13"/>
  <c r="T72" i="15"/>
  <c r="X332" i="5"/>
  <c r="Z96" i="5"/>
  <c r="AD150" i="5"/>
  <c r="AC151" i="5"/>
  <c r="Z264" i="5"/>
  <c r="Z501" i="5"/>
  <c r="Z503" i="5"/>
  <c r="Y250" i="5"/>
  <c r="K119" i="5"/>
  <c r="U69" i="11"/>
  <c r="H49" i="11" s="1"/>
  <c r="Y429" i="5"/>
  <c r="I31" i="16"/>
  <c r="X251" i="5"/>
  <c r="X494" i="5"/>
  <c r="Z265" i="5"/>
  <c r="U71" i="12"/>
  <c r="H51" i="12" s="1"/>
  <c r="F30" i="16"/>
  <c r="Z260" i="5"/>
  <c r="V69" i="12" s="1"/>
  <c r="K203" i="5"/>
  <c r="X86" i="12" s="1"/>
  <c r="K121" i="5"/>
  <c r="X81" i="11" s="1"/>
  <c r="X106" i="16"/>
  <c r="Z426" i="5"/>
  <c r="X105" i="16"/>
  <c r="Y410" i="5"/>
  <c r="X413" i="5"/>
  <c r="AA33" i="5"/>
  <c r="AB32" i="5"/>
  <c r="U71" i="13"/>
  <c r="H51" i="13" s="1"/>
  <c r="Y331" i="5"/>
  <c r="G42" i="16"/>
  <c r="Y329" i="5"/>
  <c r="Y348" i="5"/>
  <c r="U68" i="13"/>
  <c r="K452" i="5"/>
  <c r="K450" i="5"/>
  <c r="Y510" i="5"/>
  <c r="U68" i="15"/>
  <c r="H39" i="16"/>
  <c r="G50" i="14"/>
  <c r="G54" i="14" s="1"/>
  <c r="T72" i="14"/>
  <c r="K207" i="5"/>
  <c r="K209" i="5"/>
  <c r="I8" i="12" s="1"/>
  <c r="I14" i="16" s="1"/>
  <c r="W81" i="15"/>
  <c r="Y491" i="5"/>
  <c r="G19" i="19"/>
  <c r="G21" i="19" s="1"/>
  <c r="S121" i="16"/>
  <c r="Z345" i="5"/>
  <c r="Z342" i="5"/>
  <c r="Z339" i="5"/>
  <c r="Z340" i="5"/>
  <c r="Z341" i="5"/>
  <c r="Z346" i="5"/>
  <c r="F52" i="1"/>
  <c r="F79" i="16"/>
  <c r="F83" i="16" s="1"/>
  <c r="Y167" i="5"/>
  <c r="Y186" i="5"/>
  <c r="U66" i="11"/>
  <c r="G49" i="1"/>
  <c r="G80" i="16" s="1"/>
  <c r="T120" i="16"/>
  <c r="H20" i="19" s="1"/>
  <c r="X89" i="5"/>
  <c r="K45" i="5"/>
  <c r="K47" i="5"/>
  <c r="I8" i="1" s="1"/>
  <c r="Z183" i="5"/>
  <c r="Z184" i="5"/>
  <c r="Y87" i="5"/>
  <c r="U68" i="1"/>
  <c r="U71" i="15"/>
  <c r="H51" i="15" s="1"/>
  <c r="Y493" i="5"/>
  <c r="G15" i="1"/>
  <c r="T70" i="1"/>
  <c r="Z508" i="5"/>
  <c r="Z502" i="5"/>
  <c r="Z507" i="5"/>
  <c r="L64" i="5"/>
  <c r="L63" i="5" s="1"/>
  <c r="L477" i="5"/>
  <c r="L476" i="5" s="1"/>
  <c r="L291" i="5"/>
  <c r="L292" i="5" s="1"/>
  <c r="L307" i="5"/>
  <c r="L306" i="5" s="1"/>
  <c r="L453" i="5"/>
  <c r="L461" i="5"/>
  <c r="L460" i="5" s="1"/>
  <c r="L101" i="5"/>
  <c r="L100" i="5" s="1"/>
  <c r="L372" i="5"/>
  <c r="L373" i="5" s="1"/>
  <c r="L129" i="5"/>
  <c r="L130" i="5" s="1"/>
  <c r="L322" i="5"/>
  <c r="L321" i="5" s="1"/>
  <c r="L79" i="5"/>
  <c r="L78" i="5" s="1"/>
  <c r="L344" i="5"/>
  <c r="L343" i="5" s="1"/>
  <c r="L380" i="5"/>
  <c r="L379" i="5" s="1"/>
  <c r="L396" i="5"/>
  <c r="L395" i="5" s="1"/>
  <c r="L137" i="5"/>
  <c r="L136" i="5" s="1"/>
  <c r="L299" i="5"/>
  <c r="L298" i="5" s="1"/>
  <c r="L48" i="5"/>
  <c r="L49" i="5" s="1"/>
  <c r="Z30" i="5"/>
  <c r="L506" i="5"/>
  <c r="L505" i="5" s="1"/>
  <c r="L226" i="5"/>
  <c r="L225" i="5" s="1"/>
  <c r="L56" i="5"/>
  <c r="L55" i="5" s="1"/>
  <c r="L403" i="5"/>
  <c r="L402" i="5" s="1"/>
  <c r="L388" i="5"/>
  <c r="L387" i="5" s="1"/>
  <c r="L241" i="5"/>
  <c r="L240" i="5" s="1"/>
  <c r="L153" i="5"/>
  <c r="L152" i="5" s="1"/>
  <c r="L484" i="5"/>
  <c r="L483" i="5" s="1"/>
  <c r="L72" i="5"/>
  <c r="L71" i="5" s="1"/>
  <c r="L210" i="5"/>
  <c r="L211" i="5" s="1"/>
  <c r="Y2" i="5"/>
  <c r="L263" i="5"/>
  <c r="L262" i="5" s="1"/>
  <c r="L425" i="5"/>
  <c r="L424" i="5" s="1"/>
  <c r="J17" i="14" s="1"/>
  <c r="L315" i="5"/>
  <c r="L314" i="5" s="1"/>
  <c r="L469" i="5"/>
  <c r="L468" i="5" s="1"/>
  <c r="L182" i="5"/>
  <c r="L181" i="5" s="1"/>
  <c r="L145" i="5"/>
  <c r="L144" i="5" s="1"/>
  <c r="L160" i="5"/>
  <c r="L159" i="5" s="1"/>
  <c r="K283" i="5"/>
  <c r="X83" i="13" s="1"/>
  <c r="L218" i="5"/>
  <c r="L217" i="5" s="1"/>
  <c r="L234" i="5"/>
  <c r="L233" i="5" s="1"/>
  <c r="Z98" i="5"/>
  <c r="Z100" i="5"/>
  <c r="U71" i="14"/>
  <c r="H51" i="14" s="1"/>
  <c r="Y412" i="5"/>
  <c r="G15" i="11"/>
  <c r="T70" i="11"/>
  <c r="Y27" i="5"/>
  <c r="AB148" i="5"/>
  <c r="AA178" i="5" s="1"/>
  <c r="Y29" i="5"/>
  <c r="AB472" i="5"/>
  <c r="AA504" i="5" s="1"/>
  <c r="AB310" i="5"/>
  <c r="AA340" i="5" s="1"/>
  <c r="AB229" i="5"/>
  <c r="AA260" i="5" s="1"/>
  <c r="AB67" i="5"/>
  <c r="AA98" i="5" s="1"/>
  <c r="AB391" i="5"/>
  <c r="AA423" i="5" s="1"/>
  <c r="Y28" i="5"/>
  <c r="Z421" i="5"/>
  <c r="AA96" i="5"/>
  <c r="X170" i="5"/>
  <c r="Z178" i="5"/>
  <c r="V67" i="11" s="1"/>
  <c r="K290" i="5"/>
  <c r="I8" i="13" s="1"/>
  <c r="I17" i="16" s="1"/>
  <c r="K288" i="5"/>
  <c r="U68" i="14"/>
  <c r="Y267" i="5"/>
  <c r="U68" i="12"/>
  <c r="Y248" i="5"/>
  <c r="U70" i="13"/>
  <c r="H50" i="13" s="1"/>
  <c r="Y330" i="5"/>
  <c r="K128" i="5"/>
  <c r="I8" i="11" s="1"/>
  <c r="I11" i="16" s="1"/>
  <c r="K126" i="5"/>
  <c r="Y411" i="5"/>
  <c r="U70" i="14"/>
  <c r="H50" i="14" s="1"/>
  <c r="Y168" i="5"/>
  <c r="U68" i="11"/>
  <c r="H48" i="11" s="1"/>
  <c r="K364" i="5"/>
  <c r="X83" i="14" s="1"/>
  <c r="U66" i="1"/>
  <c r="Y86" i="5"/>
  <c r="Y105" i="5"/>
  <c r="Z262" i="5"/>
  <c r="Z258" i="5"/>
  <c r="Z422" i="5"/>
  <c r="Y249" i="5"/>
  <c r="U70" i="12"/>
  <c r="H50" i="12" s="1"/>
  <c r="Z261" i="5"/>
  <c r="G52" i="11"/>
  <c r="G54" i="12"/>
  <c r="Z97" i="5"/>
  <c r="Z427" i="5"/>
  <c r="U70" i="15"/>
  <c r="H50" i="15" s="1"/>
  <c r="W79" i="11"/>
  <c r="Z343" i="5"/>
  <c r="G48" i="1"/>
  <c r="T119" i="16"/>
  <c r="H19" i="19" s="1"/>
  <c r="Z181" i="5"/>
  <c r="Z180" i="5"/>
  <c r="Z423" i="5"/>
  <c r="W81" i="14"/>
  <c r="Z505" i="5"/>
  <c r="Z492" i="5" s="1"/>
  <c r="Z102" i="5"/>
  <c r="K371" i="5"/>
  <c r="K369" i="5"/>
  <c r="K41" i="5"/>
  <c r="X84" i="1" s="1"/>
  <c r="K365" i="5"/>
  <c r="X86" i="14" s="1"/>
  <c r="Z99" i="5"/>
  <c r="K39" i="5"/>
  <c r="X80" i="1" s="1"/>
  <c r="T117" i="16"/>
  <c r="H13" i="19" s="1"/>
  <c r="T72" i="12"/>
  <c r="G15" i="12"/>
  <c r="Y88" i="5"/>
  <c r="U69" i="1"/>
  <c r="Z424" i="5"/>
  <c r="AC474" i="5"/>
  <c r="AB475" i="5"/>
  <c r="M429" i="5"/>
  <c r="L429" i="5"/>
  <c r="AE476" i="5"/>
  <c r="AE152" i="5"/>
  <c r="AE71" i="5"/>
  <c r="AE314" i="5"/>
  <c r="AE395" i="5"/>
  <c r="AC35" i="5"/>
  <c r="AF71" i="5" s="1"/>
  <c r="J260" i="5"/>
  <c r="J16" i="12" s="1"/>
  <c r="AF72" i="5"/>
  <c r="K256" i="5"/>
  <c r="K259" i="5"/>
  <c r="F6" i="4"/>
  <c r="F6" i="10"/>
  <c r="F6" i="9"/>
  <c r="G5" i="1"/>
  <c r="F6" i="7"/>
  <c r="F6" i="8"/>
  <c r="AD477" i="5"/>
  <c r="AE477" i="5" s="1"/>
  <c r="AD153" i="5"/>
  <c r="AE153" i="5" s="1"/>
  <c r="AD234" i="5"/>
  <c r="AE234" i="5" s="1"/>
  <c r="J503" i="5"/>
  <c r="J16" i="15" s="1"/>
  <c r="K499" i="5"/>
  <c r="K502" i="5"/>
  <c r="AC393" i="5"/>
  <c r="AB394" i="5"/>
  <c r="H14" i="19"/>
  <c r="AC232" i="5"/>
  <c r="AD230" i="5"/>
  <c r="AD70" i="5"/>
  <c r="AE68" i="5"/>
  <c r="AD313" i="5"/>
  <c r="AE311" i="5"/>
  <c r="AE313" i="5" s="1"/>
  <c r="AD231" i="5"/>
  <c r="AE231" i="5" s="1"/>
  <c r="E34" i="16" l="1"/>
  <c r="F28" i="13"/>
  <c r="G18" i="11"/>
  <c r="E55" i="15"/>
  <c r="E56" i="15" s="1"/>
  <c r="E64" i="15" s="1"/>
  <c r="V67" i="1"/>
  <c r="V69" i="13"/>
  <c r="H15" i="14"/>
  <c r="V69" i="15"/>
  <c r="V68" i="14"/>
  <c r="D57" i="16"/>
  <c r="D84" i="16" s="1"/>
  <c r="V69" i="14"/>
  <c r="W76" i="11"/>
  <c r="G56" i="16"/>
  <c r="F27" i="11"/>
  <c r="H22" i="1"/>
  <c r="H38" i="16" s="1"/>
  <c r="F53" i="11"/>
  <c r="F54" i="11" s="1"/>
  <c r="F62" i="11" s="1"/>
  <c r="G19" i="12"/>
  <c r="G26" i="11"/>
  <c r="G24" i="14"/>
  <c r="G19" i="14"/>
  <c r="H9" i="16"/>
  <c r="H21" i="1"/>
  <c r="H37" i="16" s="1"/>
  <c r="H11" i="1"/>
  <c r="H25" i="16"/>
  <c r="H23" i="15"/>
  <c r="H53" i="16" s="1"/>
  <c r="H15" i="16"/>
  <c r="H11" i="12"/>
  <c r="H25" i="1"/>
  <c r="H24" i="16"/>
  <c r="H22" i="15"/>
  <c r="H52" i="16" s="1"/>
  <c r="H21" i="11"/>
  <c r="H40" i="16" s="1"/>
  <c r="E28" i="12"/>
  <c r="E55" i="12"/>
  <c r="E56" i="12" s="1"/>
  <c r="E64" i="12" s="1"/>
  <c r="D58" i="16"/>
  <c r="F43" i="16"/>
  <c r="F27" i="12"/>
  <c r="F28" i="12" s="1"/>
  <c r="F24" i="14"/>
  <c r="F19" i="14"/>
  <c r="F28" i="16"/>
  <c r="F33" i="16" s="1"/>
  <c r="H11" i="11"/>
  <c r="I17" i="11"/>
  <c r="I25" i="11" s="1"/>
  <c r="I10" i="12"/>
  <c r="I16" i="16" s="1"/>
  <c r="H23" i="13"/>
  <c r="H47" i="16" s="1"/>
  <c r="G19" i="16"/>
  <c r="G23" i="13"/>
  <c r="G47" i="16" s="1"/>
  <c r="G22" i="14"/>
  <c r="G21" i="16"/>
  <c r="G11" i="14"/>
  <c r="G32" i="16"/>
  <c r="H13" i="12"/>
  <c r="H24" i="12" s="1"/>
  <c r="H17" i="12"/>
  <c r="H26" i="12" s="1"/>
  <c r="G13" i="15"/>
  <c r="G28" i="16" s="1"/>
  <c r="D28" i="12"/>
  <c r="D55" i="12"/>
  <c r="D56" i="12" s="1"/>
  <c r="D64" i="12" s="1"/>
  <c r="G11" i="12"/>
  <c r="G22" i="12"/>
  <c r="G15" i="16"/>
  <c r="I14" i="13"/>
  <c r="I17" i="13"/>
  <c r="I10" i="1"/>
  <c r="I10" i="16" s="1"/>
  <c r="F37" i="16"/>
  <c r="F26" i="1"/>
  <c r="F27" i="1" s="1"/>
  <c r="F52" i="16"/>
  <c r="F27" i="15"/>
  <c r="F28" i="15" s="1"/>
  <c r="G16" i="16"/>
  <c r="G23" i="12"/>
  <c r="G44" i="16" s="1"/>
  <c r="H14" i="13"/>
  <c r="H25" i="13" s="1"/>
  <c r="G19" i="13"/>
  <c r="I9" i="12"/>
  <c r="I15" i="16" s="1"/>
  <c r="I9" i="14"/>
  <c r="I21" i="16" s="1"/>
  <c r="H11" i="15"/>
  <c r="H14" i="1"/>
  <c r="G14" i="1"/>
  <c r="G18" i="1" s="1"/>
  <c r="E28" i="14"/>
  <c r="E55" i="14"/>
  <c r="E56" i="14" s="1"/>
  <c r="E64" i="14" s="1"/>
  <c r="C62" i="1"/>
  <c r="C100" i="16" s="1"/>
  <c r="C87" i="16"/>
  <c r="Z167" i="5"/>
  <c r="I10" i="14"/>
  <c r="I22" i="16" s="1"/>
  <c r="G24" i="16"/>
  <c r="G11" i="15"/>
  <c r="G22" i="15"/>
  <c r="I14" i="12"/>
  <c r="H22" i="11"/>
  <c r="H41" i="16" s="1"/>
  <c r="H9" i="13"/>
  <c r="F26" i="16"/>
  <c r="E54" i="16"/>
  <c r="E57" i="16" s="1"/>
  <c r="C84" i="16"/>
  <c r="C58" i="16"/>
  <c r="E27" i="11"/>
  <c r="E28" i="15"/>
  <c r="I14" i="1"/>
  <c r="I24" i="1" s="1"/>
  <c r="H22" i="14"/>
  <c r="H49" i="16" s="1"/>
  <c r="H10" i="14"/>
  <c r="D27" i="1"/>
  <c r="D53" i="1"/>
  <c r="D54" i="1" s="1"/>
  <c r="H14" i="11"/>
  <c r="H24" i="11" s="1"/>
  <c r="J8" i="1"/>
  <c r="J8" i="16" s="1"/>
  <c r="I20" i="11"/>
  <c r="I39" i="16" s="1"/>
  <c r="I21" i="15"/>
  <c r="I51" i="16" s="1"/>
  <c r="I8" i="16"/>
  <c r="I21" i="14"/>
  <c r="I48" i="16" s="1"/>
  <c r="AA99" i="5"/>
  <c r="AA100" i="5"/>
  <c r="L377" i="5"/>
  <c r="J8" i="14" s="1"/>
  <c r="J20" i="16" s="1"/>
  <c r="L134" i="5"/>
  <c r="L53" i="5"/>
  <c r="L296" i="5"/>
  <c r="L404" i="5"/>
  <c r="K407" i="5" s="1"/>
  <c r="L154" i="5"/>
  <c r="K157" i="5" s="1"/>
  <c r="L323" i="5"/>
  <c r="K326" i="5" s="1"/>
  <c r="L485" i="5"/>
  <c r="K488" i="5" s="1"/>
  <c r="L57" i="5"/>
  <c r="K61" i="5"/>
  <c r="L345" i="5"/>
  <c r="K348" i="5" s="1"/>
  <c r="L242" i="5"/>
  <c r="K245" i="5" s="1"/>
  <c r="L458" i="5"/>
  <c r="L215" i="5"/>
  <c r="L462" i="5"/>
  <c r="K466" i="5"/>
  <c r="I9" i="15" s="1"/>
  <c r="L308" i="5"/>
  <c r="K312" i="5"/>
  <c r="L73" i="5"/>
  <c r="J76" i="5"/>
  <c r="L300" i="5"/>
  <c r="K304" i="5"/>
  <c r="L146" i="5"/>
  <c r="K150" i="5"/>
  <c r="I10" i="11" s="1"/>
  <c r="L470" i="5"/>
  <c r="K474" i="5"/>
  <c r="L264" i="5"/>
  <c r="L102" i="5"/>
  <c r="K105" i="5" s="1"/>
  <c r="L316" i="5"/>
  <c r="K319" i="5" s="1"/>
  <c r="L381" i="5"/>
  <c r="K385" i="5"/>
  <c r="L161" i="5"/>
  <c r="K164" i="5" s="1"/>
  <c r="L397" i="5"/>
  <c r="J400" i="5"/>
  <c r="L138" i="5"/>
  <c r="K142" i="5"/>
  <c r="L235" i="5"/>
  <c r="K238" i="5" s="1"/>
  <c r="L478" i="5"/>
  <c r="K481" i="5" s="1"/>
  <c r="J481" i="5"/>
  <c r="H13" i="15" s="1"/>
  <c r="H24" i="15" s="1"/>
  <c r="L80" i="5"/>
  <c r="K83" i="5" s="1"/>
  <c r="L507" i="5"/>
  <c r="L183" i="5"/>
  <c r="K186" i="5" s="1"/>
  <c r="L389" i="5"/>
  <c r="K393" i="5"/>
  <c r="AA97" i="5"/>
  <c r="AA86" i="5" s="1"/>
  <c r="L65" i="5"/>
  <c r="K69" i="5"/>
  <c r="J407" i="5"/>
  <c r="L219" i="5"/>
  <c r="K223" i="5"/>
  <c r="L227" i="5"/>
  <c r="K231" i="5"/>
  <c r="J157" i="5"/>
  <c r="H54" i="12"/>
  <c r="X79" i="11"/>
  <c r="Z250" i="5"/>
  <c r="H54" i="13"/>
  <c r="V66" i="1"/>
  <c r="I15" i="1" s="1"/>
  <c r="V71" i="12"/>
  <c r="I51" i="12" s="1"/>
  <c r="H52" i="11"/>
  <c r="U72" i="14"/>
  <c r="V68" i="15"/>
  <c r="I15" i="15" s="1"/>
  <c r="AE150" i="5"/>
  <c r="AE151" i="5" s="1"/>
  <c r="AD151" i="5"/>
  <c r="V66" i="11"/>
  <c r="I15" i="11" s="1"/>
  <c r="AA265" i="5"/>
  <c r="Y494" i="5"/>
  <c r="AA179" i="5"/>
  <c r="W67" i="11" s="1"/>
  <c r="H54" i="15"/>
  <c r="V70" i="13"/>
  <c r="I50" i="13" s="1"/>
  <c r="Z491" i="5"/>
  <c r="AA184" i="5"/>
  <c r="Y170" i="5"/>
  <c r="AA346" i="5"/>
  <c r="AA339" i="5"/>
  <c r="Z412" i="5"/>
  <c r="AA501" i="5"/>
  <c r="H54" i="14"/>
  <c r="AA507" i="5"/>
  <c r="AA183" i="5"/>
  <c r="Y413" i="5"/>
  <c r="H21" i="19"/>
  <c r="Z168" i="5"/>
  <c r="AC32" i="5"/>
  <c r="AC33" i="5" s="1"/>
  <c r="AB33" i="5"/>
  <c r="Y332" i="5"/>
  <c r="Y89" i="5"/>
  <c r="AA177" i="5"/>
  <c r="M388" i="5"/>
  <c r="M387" i="5" s="1"/>
  <c r="M453" i="5"/>
  <c r="M454" i="5" s="1"/>
  <c r="Z2" i="5"/>
  <c r="M41" i="5" s="1"/>
  <c r="Z84" i="1" s="1"/>
  <c r="M315" i="5"/>
  <c r="M314" i="5" s="1"/>
  <c r="M153" i="5"/>
  <c r="M152" i="5" s="1"/>
  <c r="M137" i="5"/>
  <c r="M136" i="5" s="1"/>
  <c r="M461" i="5"/>
  <c r="M460" i="5" s="1"/>
  <c r="M129" i="5"/>
  <c r="M130" i="5" s="1"/>
  <c r="M484" i="5"/>
  <c r="M483" i="5" s="1"/>
  <c r="M425" i="5"/>
  <c r="M424" i="5" s="1"/>
  <c r="K17" i="14" s="1"/>
  <c r="L17" i="14" s="1"/>
  <c r="M322" i="5"/>
  <c r="M321" i="5" s="1"/>
  <c r="M145" i="5"/>
  <c r="M144" i="5" s="1"/>
  <c r="M64" i="5"/>
  <c r="M63" i="5" s="1"/>
  <c r="M210" i="5"/>
  <c r="M211" i="5" s="1"/>
  <c r="M396" i="5"/>
  <c r="M395" i="5" s="1"/>
  <c r="M241" i="5"/>
  <c r="M240" i="5" s="1"/>
  <c r="M344" i="5"/>
  <c r="M343" i="5" s="1"/>
  <c r="M372" i="5"/>
  <c r="M373" i="5" s="1"/>
  <c r="M299" i="5"/>
  <c r="M298" i="5" s="1"/>
  <c r="M160" i="5"/>
  <c r="M159" i="5" s="1"/>
  <c r="M307" i="5"/>
  <c r="M306" i="5" s="1"/>
  <c r="M477" i="5"/>
  <c r="M476" i="5" s="1"/>
  <c r="M469" i="5"/>
  <c r="M468" i="5" s="1"/>
  <c r="M226" i="5"/>
  <c r="M225" i="5" s="1"/>
  <c r="M101" i="5"/>
  <c r="M100" i="5" s="1"/>
  <c r="M48" i="5"/>
  <c r="M49" i="5" s="1"/>
  <c r="M291" i="5"/>
  <c r="M292" i="5" s="1"/>
  <c r="M380" i="5"/>
  <c r="M379" i="5" s="1"/>
  <c r="M56" i="5"/>
  <c r="M55" i="5" s="1"/>
  <c r="Y105" i="16"/>
  <c r="M234" i="5"/>
  <c r="M233" i="5" s="1"/>
  <c r="M263" i="5"/>
  <c r="M262" i="5" s="1"/>
  <c r="M403" i="5"/>
  <c r="M402" i="5" s="1"/>
  <c r="M506" i="5"/>
  <c r="M505" i="5" s="1"/>
  <c r="M79" i="5"/>
  <c r="M78" i="5" s="1"/>
  <c r="Y106" i="16"/>
  <c r="M72" i="5"/>
  <c r="M71" i="5" s="1"/>
  <c r="AA30" i="5"/>
  <c r="M182" i="5"/>
  <c r="M181" i="5" s="1"/>
  <c r="M218" i="5"/>
  <c r="M217" i="5" s="1"/>
  <c r="L365" i="5"/>
  <c r="Y86" i="14" s="1"/>
  <c r="H15" i="1"/>
  <c r="U70" i="1"/>
  <c r="U117" i="16"/>
  <c r="I13" i="19" s="1"/>
  <c r="L209" i="5"/>
  <c r="J8" i="12" s="1"/>
  <c r="J14" i="16" s="1"/>
  <c r="L207" i="5"/>
  <c r="J31" i="16"/>
  <c r="Z186" i="5"/>
  <c r="L47" i="5"/>
  <c r="L45" i="5"/>
  <c r="H49" i="1"/>
  <c r="H80" i="16" s="1"/>
  <c r="U120" i="16"/>
  <c r="I20" i="19" s="1"/>
  <c r="V69" i="11"/>
  <c r="I49" i="11" s="1"/>
  <c r="Z169" i="5"/>
  <c r="Z331" i="5"/>
  <c r="V71" i="13"/>
  <c r="I51" i="13" s="1"/>
  <c r="L288" i="5"/>
  <c r="L290" i="5"/>
  <c r="J8" i="13" s="1"/>
  <c r="J17" i="16" s="1"/>
  <c r="Z411" i="5"/>
  <c r="V70" i="14"/>
  <c r="I50" i="14" s="1"/>
  <c r="G79" i="16"/>
  <c r="G83" i="16" s="1"/>
  <c r="G52" i="1"/>
  <c r="AA426" i="5"/>
  <c r="AA424" i="5"/>
  <c r="AA411" i="5" s="1"/>
  <c r="H48" i="1"/>
  <c r="U119" i="16"/>
  <c r="I19" i="19" s="1"/>
  <c r="V68" i="13"/>
  <c r="Z329" i="5"/>
  <c r="H15" i="13"/>
  <c r="H19" i="13" s="1"/>
  <c r="U72" i="13"/>
  <c r="Z510" i="5"/>
  <c r="AA103" i="5"/>
  <c r="AA102" i="5"/>
  <c r="H15" i="19"/>
  <c r="AA422" i="5"/>
  <c r="Z330" i="5"/>
  <c r="AA264" i="5"/>
  <c r="AA258" i="5"/>
  <c r="AA259" i="5"/>
  <c r="W69" i="12" s="1"/>
  <c r="Z105" i="5"/>
  <c r="V68" i="1"/>
  <c r="Z87" i="5"/>
  <c r="Z248" i="5"/>
  <c r="V68" i="12"/>
  <c r="Z267" i="5"/>
  <c r="AA420" i="5"/>
  <c r="L128" i="5"/>
  <c r="J8" i="11" s="1"/>
  <c r="L126" i="5"/>
  <c r="AA345" i="5"/>
  <c r="AA505" i="5"/>
  <c r="W70" i="15" s="1"/>
  <c r="J50" i="15" s="1"/>
  <c r="AA502" i="5"/>
  <c r="AA508" i="5"/>
  <c r="G30" i="16"/>
  <c r="L369" i="5"/>
  <c r="L371" i="5"/>
  <c r="V71" i="14"/>
  <c r="I51" i="14" s="1"/>
  <c r="AA342" i="5"/>
  <c r="Z429" i="5"/>
  <c r="AA503" i="5"/>
  <c r="AA421" i="5"/>
  <c r="V68" i="11"/>
  <c r="Z86" i="5"/>
  <c r="AA180" i="5"/>
  <c r="Y251" i="5"/>
  <c r="AA341" i="5"/>
  <c r="W69" i="13" s="1"/>
  <c r="L450" i="5"/>
  <c r="L452" i="5"/>
  <c r="J8" i="15" s="1"/>
  <c r="T121" i="16"/>
  <c r="V70" i="12"/>
  <c r="I50" i="12" s="1"/>
  <c r="Z249" i="5"/>
  <c r="V71" i="15"/>
  <c r="I51" i="15" s="1"/>
  <c r="Z493" i="5"/>
  <c r="Z410" i="5"/>
  <c r="Z348" i="5"/>
  <c r="V69" i="1"/>
  <c r="Z88" i="5"/>
  <c r="V70" i="15"/>
  <c r="I50" i="15" s="1"/>
  <c r="U72" i="12"/>
  <c r="H15" i="12"/>
  <c r="AA427" i="5"/>
  <c r="AC472" i="5"/>
  <c r="AB501" i="5" s="1"/>
  <c r="Z27" i="5"/>
  <c r="AC229" i="5"/>
  <c r="AC148" i="5"/>
  <c r="AB181" i="5" s="1"/>
  <c r="AC391" i="5"/>
  <c r="AB427" i="5" s="1"/>
  <c r="Z29" i="5"/>
  <c r="Z28" i="5"/>
  <c r="AC67" i="5"/>
  <c r="AB103" i="5" s="1"/>
  <c r="AC310" i="5"/>
  <c r="AB340" i="5" s="1"/>
  <c r="H15" i="11"/>
  <c r="U70" i="11"/>
  <c r="AA343" i="5"/>
  <c r="H15" i="15"/>
  <c r="U72" i="15"/>
  <c r="J38" i="5"/>
  <c r="V76" i="1" s="1"/>
  <c r="I20" i="1" s="1"/>
  <c r="I36" i="16" s="1"/>
  <c r="K444" i="5"/>
  <c r="X82" i="15" s="1"/>
  <c r="J445" i="5"/>
  <c r="W83" i="15" s="1"/>
  <c r="J200" i="5"/>
  <c r="L119" i="5"/>
  <c r="X76" i="11" s="1"/>
  <c r="L202" i="5"/>
  <c r="Y83" i="12" s="1"/>
  <c r="K200" i="5"/>
  <c r="I200" i="5"/>
  <c r="U78" i="12" s="1"/>
  <c r="H22" i="12" s="1"/>
  <c r="H43" i="16" s="1"/>
  <c r="J364" i="5"/>
  <c r="W83" i="14" s="1"/>
  <c r="K281" i="5"/>
  <c r="J281" i="5"/>
  <c r="V78" i="13" s="1"/>
  <c r="I21" i="13" s="1"/>
  <c r="I45" i="16" s="1"/>
  <c r="J446" i="5"/>
  <c r="W86" i="15" s="1"/>
  <c r="L39" i="5"/>
  <c r="Y80" i="1" s="1"/>
  <c r="L364" i="5"/>
  <c r="Y83" i="14" s="1"/>
  <c r="L40" i="5"/>
  <c r="Y81" i="1" s="1"/>
  <c r="L443" i="5"/>
  <c r="J283" i="5"/>
  <c r="W83" i="13" s="1"/>
  <c r="L445" i="5"/>
  <c r="Y83" i="15" s="1"/>
  <c r="L201" i="5"/>
  <c r="Y82" i="12" s="1"/>
  <c r="K282" i="5"/>
  <c r="X82" i="13" s="1"/>
  <c r="J365" i="5"/>
  <c r="W86" i="14" s="1"/>
  <c r="K363" i="5"/>
  <c r="X82" i="14" s="1"/>
  <c r="K122" i="5"/>
  <c r="X84" i="11" s="1"/>
  <c r="K445" i="5"/>
  <c r="X83" i="15" s="1"/>
  <c r="L38" i="5"/>
  <c r="K446" i="5"/>
  <c r="X86" i="15" s="1"/>
  <c r="J39" i="5"/>
  <c r="W80" i="1" s="1"/>
  <c r="L41" i="5"/>
  <c r="Y84" i="1" s="1"/>
  <c r="J202" i="5"/>
  <c r="W83" i="12" s="1"/>
  <c r="L122" i="5"/>
  <c r="Y84" i="11" s="1"/>
  <c r="L284" i="5"/>
  <c r="Y86" i="13" s="1"/>
  <c r="K120" i="5"/>
  <c r="X80" i="11" s="1"/>
  <c r="K38" i="5"/>
  <c r="K284" i="5"/>
  <c r="X86" i="13" s="1"/>
  <c r="K443" i="5"/>
  <c r="W78" i="15" s="1"/>
  <c r="L282" i="5"/>
  <c r="Y82" i="13" s="1"/>
  <c r="L363" i="5"/>
  <c r="Y82" i="14" s="1"/>
  <c r="L362" i="5"/>
  <c r="K40" i="5"/>
  <c r="X81" i="1" s="1"/>
  <c r="L444" i="5"/>
  <c r="Y82" i="15" s="1"/>
  <c r="L121" i="5"/>
  <c r="Y81" i="11" s="1"/>
  <c r="K201" i="5"/>
  <c r="X82" i="12" s="1"/>
  <c r="K362" i="5"/>
  <c r="W78" i="14" s="1"/>
  <c r="L281" i="5"/>
  <c r="L283" i="5"/>
  <c r="Y83" i="13" s="1"/>
  <c r="L446" i="5"/>
  <c r="Y86" i="15" s="1"/>
  <c r="L203" i="5"/>
  <c r="Y86" i="12" s="1"/>
  <c r="L120" i="5"/>
  <c r="Y80" i="11" s="1"/>
  <c r="L200" i="5"/>
  <c r="K260" i="5"/>
  <c r="K16" i="12" s="1"/>
  <c r="L16" i="12" s="1"/>
  <c r="AD474" i="5"/>
  <c r="AC475" i="5"/>
  <c r="AA262" i="5"/>
  <c r="AA261" i="5"/>
  <c r="AA181" i="5"/>
  <c r="G6" i="1"/>
  <c r="G5" i="9"/>
  <c r="G5" i="8"/>
  <c r="G5" i="10"/>
  <c r="G5" i="7"/>
  <c r="G5" i="4"/>
  <c r="K503" i="5"/>
  <c r="K16" i="15" s="1"/>
  <c r="AD393" i="5"/>
  <c r="AC394" i="5"/>
  <c r="I15" i="14"/>
  <c r="V118" i="16"/>
  <c r="J14" i="19" s="1"/>
  <c r="AF68" i="5"/>
  <c r="AF70" i="5" s="1"/>
  <c r="AE70" i="5"/>
  <c r="I14" i="19"/>
  <c r="AE230" i="5"/>
  <c r="AE232" i="5" s="1"/>
  <c r="AD232" i="5"/>
  <c r="F55" i="15" l="1"/>
  <c r="F56" i="15" s="1"/>
  <c r="F64" i="15" s="1"/>
  <c r="I22" i="14"/>
  <c r="I49" i="16" s="1"/>
  <c r="G27" i="11"/>
  <c r="J20" i="11"/>
  <c r="J39" i="16" s="1"/>
  <c r="G53" i="11"/>
  <c r="G54" i="11" s="1"/>
  <c r="G62" i="11" s="1"/>
  <c r="W67" i="1"/>
  <c r="E100" i="16"/>
  <c r="W69" i="14"/>
  <c r="W69" i="15"/>
  <c r="AA87" i="5"/>
  <c r="J21" i="15"/>
  <c r="J51" i="16" s="1"/>
  <c r="H23" i="12"/>
  <c r="H44" i="16" s="1"/>
  <c r="H21" i="12"/>
  <c r="H42" i="16" s="1"/>
  <c r="F34" i="16"/>
  <c r="F55" i="12"/>
  <c r="F56" i="12" s="1"/>
  <c r="F64" i="12" s="1"/>
  <c r="G27" i="13"/>
  <c r="G28" i="13" s="1"/>
  <c r="H27" i="15"/>
  <c r="C90" i="16"/>
  <c r="I11" i="12"/>
  <c r="F53" i="1"/>
  <c r="F54" i="1" s="1"/>
  <c r="F62" i="1" s="1"/>
  <c r="I24" i="16"/>
  <c r="I22" i="15"/>
  <c r="I52" i="16" s="1"/>
  <c r="E84" i="16"/>
  <c r="E58" i="16"/>
  <c r="I13" i="16"/>
  <c r="I22" i="11"/>
  <c r="I41" i="16" s="1"/>
  <c r="J17" i="1"/>
  <c r="J25" i="1" s="1"/>
  <c r="J10" i="13"/>
  <c r="J19" i="16" s="1"/>
  <c r="J9" i="1"/>
  <c r="J9" i="16" s="1"/>
  <c r="D62" i="1"/>
  <c r="D100" i="16" s="1"/>
  <c r="D87" i="16"/>
  <c r="D90" i="16" s="1"/>
  <c r="I13" i="12"/>
  <c r="I24" i="12" s="1"/>
  <c r="J14" i="15"/>
  <c r="J25" i="15" s="1"/>
  <c r="G43" i="16"/>
  <c r="G27" i="12"/>
  <c r="G28" i="12" s="1"/>
  <c r="J14" i="11"/>
  <c r="J24" i="11" s="1"/>
  <c r="W68" i="1"/>
  <c r="J48" i="1" s="1"/>
  <c r="I9" i="11"/>
  <c r="AA169" i="5"/>
  <c r="J9" i="14"/>
  <c r="J21" i="16" s="1"/>
  <c r="H24" i="1"/>
  <c r="I9" i="1"/>
  <c r="I17" i="1"/>
  <c r="F54" i="16"/>
  <c r="F57" i="16" s="1"/>
  <c r="F27" i="14"/>
  <c r="F55" i="14" s="1"/>
  <c r="F56" i="14" s="1"/>
  <c r="H22" i="16"/>
  <c r="H23" i="14"/>
  <c r="H50" i="16" s="1"/>
  <c r="G24" i="1"/>
  <c r="G29" i="16"/>
  <c r="G33" i="16" s="1"/>
  <c r="H11" i="14"/>
  <c r="I10" i="13"/>
  <c r="I23" i="14"/>
  <c r="I50" i="16" s="1"/>
  <c r="I13" i="11"/>
  <c r="I23" i="11" s="1"/>
  <c r="H13" i="11"/>
  <c r="H23" i="11" s="1"/>
  <c r="H26" i="11" s="1"/>
  <c r="G49" i="16"/>
  <c r="G27" i="14"/>
  <c r="G55" i="14" s="1"/>
  <c r="G56" i="14" s="1"/>
  <c r="G64" i="14" s="1"/>
  <c r="H19" i="15"/>
  <c r="I11" i="14"/>
  <c r="H13" i="14"/>
  <c r="G24" i="15"/>
  <c r="G54" i="16" s="1"/>
  <c r="G19" i="15"/>
  <c r="H18" i="16"/>
  <c r="H11" i="13"/>
  <c r="H22" i="13"/>
  <c r="I13" i="13"/>
  <c r="I24" i="13" s="1"/>
  <c r="I14" i="14"/>
  <c r="I25" i="14" s="1"/>
  <c r="H14" i="14"/>
  <c r="H25" i="14" s="1"/>
  <c r="J14" i="1"/>
  <c r="I13" i="1"/>
  <c r="I23" i="1" s="1"/>
  <c r="H13" i="1"/>
  <c r="H18" i="1" s="1"/>
  <c r="J14" i="12"/>
  <c r="J25" i="12" s="1"/>
  <c r="I22" i="1"/>
  <c r="I38" i="16" s="1"/>
  <c r="E87" i="16"/>
  <c r="I10" i="15"/>
  <c r="I11" i="15" s="1"/>
  <c r="I9" i="13"/>
  <c r="H32" i="16"/>
  <c r="J9" i="15"/>
  <c r="J24" i="16" s="1"/>
  <c r="I14" i="15"/>
  <c r="I25" i="15" s="1"/>
  <c r="G26" i="16"/>
  <c r="J10" i="11"/>
  <c r="J13" i="16" s="1"/>
  <c r="H19" i="12"/>
  <c r="J10" i="1"/>
  <c r="J10" i="16" s="1"/>
  <c r="I13" i="15"/>
  <c r="I24" i="15" s="1"/>
  <c r="J17" i="13"/>
  <c r="J26" i="13" s="1"/>
  <c r="G52" i="16"/>
  <c r="I14" i="11"/>
  <c r="I24" i="11" s="1"/>
  <c r="H56" i="16"/>
  <c r="J11" i="16"/>
  <c r="J21" i="14"/>
  <c r="J48" i="16" s="1"/>
  <c r="J23" i="16"/>
  <c r="K8" i="12"/>
  <c r="K14" i="16" s="1"/>
  <c r="L14" i="16" s="1"/>
  <c r="W66" i="1"/>
  <c r="I54" i="12"/>
  <c r="M134" i="5"/>
  <c r="M215" i="5"/>
  <c r="M377" i="5"/>
  <c r="M53" i="5"/>
  <c r="M458" i="5"/>
  <c r="M296" i="5"/>
  <c r="M219" i="5"/>
  <c r="L223" i="5"/>
  <c r="M507" i="5"/>
  <c r="M510" i="5" s="1"/>
  <c r="L510" i="5"/>
  <c r="M138" i="5"/>
  <c r="L142" i="5"/>
  <c r="M146" i="5"/>
  <c r="L150" i="5"/>
  <c r="M57" i="5"/>
  <c r="L61" i="5"/>
  <c r="M80" i="5"/>
  <c r="M83" i="5" s="1"/>
  <c r="L83" i="5"/>
  <c r="K14" i="1" s="1"/>
  <c r="M389" i="5"/>
  <c r="L393" i="5"/>
  <c r="M397" i="5"/>
  <c r="M400" i="5" s="1"/>
  <c r="L400" i="5"/>
  <c r="K400" i="5"/>
  <c r="J13" i="14" s="1"/>
  <c r="M300" i="5"/>
  <c r="L304" i="5"/>
  <c r="J9" i="13" s="1"/>
  <c r="M485" i="5"/>
  <c r="M488" i="5" s="1"/>
  <c r="L488" i="5"/>
  <c r="M316" i="5"/>
  <c r="M319" i="5" s="1"/>
  <c r="L319" i="5"/>
  <c r="K13" i="13" s="1"/>
  <c r="M183" i="5"/>
  <c r="M186" i="5" s="1"/>
  <c r="L186" i="5"/>
  <c r="M73" i="5"/>
  <c r="M76" i="5" s="1"/>
  <c r="K76" i="5"/>
  <c r="J13" i="1" s="1"/>
  <c r="L76" i="5"/>
  <c r="M323" i="5"/>
  <c r="M326" i="5" s="1"/>
  <c r="L326" i="5"/>
  <c r="M478" i="5"/>
  <c r="M481" i="5" s="1"/>
  <c r="L481" i="5"/>
  <c r="K13" i="15" s="1"/>
  <c r="M381" i="5"/>
  <c r="L385" i="5"/>
  <c r="M102" i="5"/>
  <c r="M105" i="5" s="1"/>
  <c r="L105" i="5"/>
  <c r="M161" i="5"/>
  <c r="M164" i="5" s="1"/>
  <c r="L164" i="5"/>
  <c r="K14" i="11" s="1"/>
  <c r="M65" i="5"/>
  <c r="L69" i="5"/>
  <c r="M264" i="5"/>
  <c r="M267" i="5" s="1"/>
  <c r="K267" i="5"/>
  <c r="L267" i="5"/>
  <c r="M308" i="5"/>
  <c r="L312" i="5"/>
  <c r="M154" i="5"/>
  <c r="M157" i="5" s="1"/>
  <c r="L157" i="5"/>
  <c r="J13" i="11" s="1"/>
  <c r="J23" i="11" s="1"/>
  <c r="M235" i="5"/>
  <c r="M238" i="5" s="1"/>
  <c r="L238" i="5"/>
  <c r="K13" i="12" s="1"/>
  <c r="M242" i="5"/>
  <c r="M245" i="5" s="1"/>
  <c r="L245" i="5"/>
  <c r="M227" i="5"/>
  <c r="L231" i="5"/>
  <c r="M470" i="5"/>
  <c r="L474" i="5"/>
  <c r="J10" i="15" s="1"/>
  <c r="M462" i="5"/>
  <c r="L466" i="5"/>
  <c r="M404" i="5"/>
  <c r="M407" i="5" s="1"/>
  <c r="L407" i="5"/>
  <c r="J14" i="14" s="1"/>
  <c r="J25" i="14" s="1"/>
  <c r="K510" i="5"/>
  <c r="M345" i="5"/>
  <c r="M348" i="5" s="1"/>
  <c r="L348" i="5"/>
  <c r="AA329" i="5"/>
  <c r="AA167" i="5"/>
  <c r="W68" i="13"/>
  <c r="J15" i="13" s="1"/>
  <c r="W68" i="15"/>
  <c r="J15" i="15" s="1"/>
  <c r="Z251" i="5"/>
  <c r="AB345" i="5"/>
  <c r="Z170" i="5"/>
  <c r="M443" i="5"/>
  <c r="Z78" i="15" s="1"/>
  <c r="Z413" i="5"/>
  <c r="Z494" i="5"/>
  <c r="V117" i="16"/>
  <c r="J13" i="19" s="1"/>
  <c r="J15" i="19" s="1"/>
  <c r="W69" i="11"/>
  <c r="J49" i="11" s="1"/>
  <c r="AB503" i="5"/>
  <c r="AB342" i="5"/>
  <c r="I54" i="13"/>
  <c r="W66" i="11"/>
  <c r="J15" i="11" s="1"/>
  <c r="M364" i="5"/>
  <c r="Z83" i="14" s="1"/>
  <c r="AA348" i="5"/>
  <c r="M445" i="5"/>
  <c r="Z83" i="15" s="1"/>
  <c r="M201" i="5"/>
  <c r="Z82" i="12" s="1"/>
  <c r="M284" i="5"/>
  <c r="Z86" i="13" s="1"/>
  <c r="M281" i="5"/>
  <c r="Z81" i="13" s="1"/>
  <c r="M362" i="5"/>
  <c r="Z81" i="14" s="1"/>
  <c r="M200" i="5"/>
  <c r="Z81" i="12" s="1"/>
  <c r="W71" i="15"/>
  <c r="J51" i="15" s="1"/>
  <c r="J54" i="15" s="1"/>
  <c r="AA492" i="5"/>
  <c r="W68" i="14"/>
  <c r="J15" i="14" s="1"/>
  <c r="H30" i="16"/>
  <c r="Z106" i="16"/>
  <c r="W70" i="14"/>
  <c r="J50" i="14" s="1"/>
  <c r="AA105" i="5"/>
  <c r="I15" i="19"/>
  <c r="M444" i="5"/>
  <c r="Z82" i="15" s="1"/>
  <c r="U121" i="16"/>
  <c r="AB423" i="5"/>
  <c r="AB424" i="5"/>
  <c r="AB420" i="5"/>
  <c r="AB421" i="5"/>
  <c r="Z89" i="5"/>
  <c r="I48" i="11"/>
  <c r="I52" i="11" s="1"/>
  <c r="V70" i="11"/>
  <c r="AA250" i="5"/>
  <c r="W71" i="12"/>
  <c r="J51" i="12" s="1"/>
  <c r="AD310" i="5"/>
  <c r="AD67" i="5"/>
  <c r="AA27" i="5"/>
  <c r="AA28" i="5"/>
  <c r="AD229" i="5"/>
  <c r="AD472" i="5"/>
  <c r="AD148" i="5"/>
  <c r="AD391" i="5"/>
  <c r="AA29" i="5"/>
  <c r="M290" i="5"/>
  <c r="K8" i="13" s="1"/>
  <c r="L8" i="13" s="1"/>
  <c r="M288" i="5"/>
  <c r="M202" i="5"/>
  <c r="Z83" i="12" s="1"/>
  <c r="M365" i="5"/>
  <c r="Z86" i="14" s="1"/>
  <c r="AB260" i="5"/>
  <c r="AB264" i="5"/>
  <c r="AB265" i="5"/>
  <c r="AB258" i="5"/>
  <c r="AB262" i="5"/>
  <c r="AB259" i="5"/>
  <c r="AB426" i="5"/>
  <c r="M45" i="5"/>
  <c r="M47" i="5"/>
  <c r="K8" i="1" s="1"/>
  <c r="K8" i="16" s="1"/>
  <c r="L8" i="16" s="1"/>
  <c r="M39" i="5"/>
  <c r="Z80" i="1" s="1"/>
  <c r="M40" i="5"/>
  <c r="Z81" i="1" s="1"/>
  <c r="I48" i="1"/>
  <c r="V119" i="16"/>
  <c r="J19" i="19" s="1"/>
  <c r="M446" i="5"/>
  <c r="Z86" i="15" s="1"/>
  <c r="I54" i="14"/>
  <c r="V70" i="1"/>
  <c r="AA410" i="5"/>
  <c r="M121" i="5"/>
  <c r="Z81" i="11" s="1"/>
  <c r="M38" i="5"/>
  <c r="Z79" i="1" s="1"/>
  <c r="AA510" i="5"/>
  <c r="I15" i="13"/>
  <c r="V72" i="13"/>
  <c r="V72" i="15"/>
  <c r="AB422" i="5"/>
  <c r="M363" i="5"/>
  <c r="Z82" i="14" s="1"/>
  <c r="AB341" i="5"/>
  <c r="X69" i="13" s="1"/>
  <c r="Z105" i="16"/>
  <c r="I21" i="19"/>
  <c r="AB97" i="5"/>
  <c r="AB96" i="5"/>
  <c r="AB99" i="5"/>
  <c r="AB100" i="5"/>
  <c r="I49" i="1"/>
  <c r="V120" i="16"/>
  <c r="J20" i="19" s="1"/>
  <c r="AA412" i="5"/>
  <c r="W71" i="14"/>
  <c r="J51" i="14" s="1"/>
  <c r="M369" i="5"/>
  <c r="M371" i="5"/>
  <c r="K8" i="14" s="1"/>
  <c r="K20" i="16" s="1"/>
  <c r="L20" i="16" s="1"/>
  <c r="V72" i="12"/>
  <c r="I15" i="12"/>
  <c r="AA248" i="5"/>
  <c r="W68" i="12"/>
  <c r="J15" i="12" s="1"/>
  <c r="AB180" i="5"/>
  <c r="AB168" i="5" s="1"/>
  <c r="AB178" i="5"/>
  <c r="AB183" i="5"/>
  <c r="AB184" i="5"/>
  <c r="AB179" i="5"/>
  <c r="AB177" i="5"/>
  <c r="AB98" i="5"/>
  <c r="N64" i="5"/>
  <c r="N63" i="5" s="1"/>
  <c r="N372" i="5"/>
  <c r="N373" i="5" s="1"/>
  <c r="N377" i="5" s="1"/>
  <c r="N291" i="5"/>
  <c r="N292" i="5" s="1"/>
  <c r="N296" i="5" s="1"/>
  <c r="N299" i="5"/>
  <c r="N298" i="5" s="1"/>
  <c r="AA2" i="5"/>
  <c r="N307" i="5"/>
  <c r="N306" i="5" s="1"/>
  <c r="N129" i="5"/>
  <c r="N130" i="5" s="1"/>
  <c r="N134" i="5" s="1"/>
  <c r="N388" i="5"/>
  <c r="N387" i="5" s="1"/>
  <c r="N461" i="5"/>
  <c r="N460" i="5" s="1"/>
  <c r="N56" i="5"/>
  <c r="N55" i="5" s="1"/>
  <c r="N145" i="5"/>
  <c r="N144" i="5" s="1"/>
  <c r="N218" i="5"/>
  <c r="N217" i="5" s="1"/>
  <c r="N226" i="5"/>
  <c r="N225" i="5" s="1"/>
  <c r="N453" i="5"/>
  <c r="N454" i="5" s="1"/>
  <c r="N458" i="5" s="1"/>
  <c r="N469" i="5"/>
  <c r="N468" i="5" s="1"/>
  <c r="N137" i="5"/>
  <c r="N136" i="5" s="1"/>
  <c r="N380" i="5"/>
  <c r="N379" i="5" s="1"/>
  <c r="N48" i="5"/>
  <c r="N49" i="5" s="1"/>
  <c r="N53" i="5" s="1"/>
  <c r="AB30" i="5"/>
  <c r="N210" i="5"/>
  <c r="N211" i="5" s="1"/>
  <c r="N215" i="5" s="1"/>
  <c r="M450" i="5"/>
  <c r="M452" i="5"/>
  <c r="K8" i="15" s="1"/>
  <c r="AB502" i="5"/>
  <c r="AB508" i="5"/>
  <c r="AB507" i="5"/>
  <c r="AB505" i="5"/>
  <c r="AA491" i="5"/>
  <c r="M122" i="5"/>
  <c r="Z84" i="11" s="1"/>
  <c r="M119" i="5"/>
  <c r="Z79" i="11" s="1"/>
  <c r="AB339" i="5"/>
  <c r="AA493" i="5"/>
  <c r="AB102" i="5"/>
  <c r="H52" i="1"/>
  <c r="H79" i="16"/>
  <c r="H83" i="16" s="1"/>
  <c r="V72" i="14"/>
  <c r="M203" i="5"/>
  <c r="Z86" i="12" s="1"/>
  <c r="M207" i="5"/>
  <c r="M209" i="5"/>
  <c r="W71" i="13"/>
  <c r="J51" i="13" s="1"/>
  <c r="AA331" i="5"/>
  <c r="AA429" i="5"/>
  <c r="Z332" i="5"/>
  <c r="AB261" i="5"/>
  <c r="M283" i="5"/>
  <c r="Z83" i="13" s="1"/>
  <c r="M282" i="5"/>
  <c r="Z82" i="13" s="1"/>
  <c r="M120" i="5"/>
  <c r="Z80" i="11" s="1"/>
  <c r="I54" i="15"/>
  <c r="AB346" i="5"/>
  <c r="AA330" i="5"/>
  <c r="W70" i="13"/>
  <c r="J50" i="13" s="1"/>
  <c r="AB343" i="5"/>
  <c r="AA88" i="5"/>
  <c r="W69" i="1"/>
  <c r="AB504" i="5"/>
  <c r="M128" i="5"/>
  <c r="K8" i="11" s="1"/>
  <c r="M126" i="5"/>
  <c r="Y81" i="12"/>
  <c r="X78" i="12"/>
  <c r="X81" i="12"/>
  <c r="X78" i="15"/>
  <c r="X81" i="15"/>
  <c r="K26" i="14"/>
  <c r="AE474" i="5"/>
  <c r="AE475" i="5" s="1"/>
  <c r="AD475" i="5"/>
  <c r="Y81" i="15"/>
  <c r="Y79" i="11"/>
  <c r="W78" i="12"/>
  <c r="W81" i="12"/>
  <c r="X81" i="14"/>
  <c r="X78" i="14"/>
  <c r="Y79" i="1"/>
  <c r="AA186" i="5"/>
  <c r="AA168" i="5"/>
  <c r="W68" i="11"/>
  <c r="X79" i="1"/>
  <c r="X76" i="1"/>
  <c r="Y81" i="14"/>
  <c r="W76" i="1"/>
  <c r="W79" i="1"/>
  <c r="AA249" i="5"/>
  <c r="W70" i="12"/>
  <c r="AA267" i="5"/>
  <c r="I25" i="12"/>
  <c r="W78" i="13"/>
  <c r="W81" i="13"/>
  <c r="I25" i="13"/>
  <c r="I26" i="13"/>
  <c r="X78" i="13"/>
  <c r="X81" i="13"/>
  <c r="V81" i="12"/>
  <c r="V78" i="12"/>
  <c r="Y81" i="13"/>
  <c r="I26" i="14"/>
  <c r="J26" i="14"/>
  <c r="G6" i="10"/>
  <c r="H5" i="1"/>
  <c r="G6" i="9"/>
  <c r="G6" i="8"/>
  <c r="G6" i="7"/>
  <c r="G6" i="4"/>
  <c r="L16" i="15"/>
  <c r="K31" i="16"/>
  <c r="L31" i="16" s="1"/>
  <c r="AE393" i="5"/>
  <c r="AE394" i="5" s="1"/>
  <c r="AD394" i="5"/>
  <c r="Y78" i="14" l="1"/>
  <c r="Y78" i="15"/>
  <c r="K17" i="15"/>
  <c r="Y78" i="13"/>
  <c r="J15" i="1"/>
  <c r="W118" i="16"/>
  <c r="K14" i="19" s="1"/>
  <c r="AA89" i="5"/>
  <c r="X69" i="15"/>
  <c r="H28" i="15"/>
  <c r="Y76" i="11"/>
  <c r="K17" i="12"/>
  <c r="K26" i="12" s="1"/>
  <c r="F28" i="14"/>
  <c r="I18" i="1"/>
  <c r="H27" i="12"/>
  <c r="H55" i="12" s="1"/>
  <c r="H56" i="12" s="1"/>
  <c r="H64" i="12" s="1"/>
  <c r="X67" i="1"/>
  <c r="X69" i="12"/>
  <c r="H18" i="11"/>
  <c r="H53" i="11" s="1"/>
  <c r="H54" i="11" s="1"/>
  <c r="H62" i="11" s="1"/>
  <c r="G55" i="12"/>
  <c r="G56" i="12" s="1"/>
  <c r="G64" i="12" s="1"/>
  <c r="X69" i="14"/>
  <c r="H26" i="16"/>
  <c r="H55" i="16"/>
  <c r="G28" i="14"/>
  <c r="Y76" i="1"/>
  <c r="Y78" i="12"/>
  <c r="X67" i="11"/>
  <c r="Y67" i="11" s="1"/>
  <c r="G55" i="13"/>
  <c r="G56" i="13" s="1"/>
  <c r="G64" i="13" s="1"/>
  <c r="E90" i="16"/>
  <c r="I19" i="13"/>
  <c r="J22" i="14"/>
  <c r="J49" i="16" s="1"/>
  <c r="F64" i="14"/>
  <c r="F100" i="16" s="1"/>
  <c r="F87" i="16"/>
  <c r="K23" i="16"/>
  <c r="L23" i="16" s="1"/>
  <c r="L8" i="15"/>
  <c r="G34" i="16"/>
  <c r="K20" i="11"/>
  <c r="K39" i="16" s="1"/>
  <c r="L39" i="16" s="1"/>
  <c r="L8" i="11"/>
  <c r="J25" i="16"/>
  <c r="J23" i="15"/>
  <c r="J53" i="16" s="1"/>
  <c r="F58" i="16"/>
  <c r="F84" i="16"/>
  <c r="J18" i="16"/>
  <c r="J11" i="13"/>
  <c r="K10" i="11"/>
  <c r="K22" i="11" s="1"/>
  <c r="K9" i="15"/>
  <c r="K22" i="15" s="1"/>
  <c r="K17" i="11"/>
  <c r="K25" i="11" s="1"/>
  <c r="K13" i="14"/>
  <c r="K24" i="14" s="1"/>
  <c r="J22" i="15"/>
  <c r="J52" i="16" s="1"/>
  <c r="H23" i="1"/>
  <c r="H28" i="16"/>
  <c r="H24" i="14"/>
  <c r="H27" i="14" s="1"/>
  <c r="H19" i="14"/>
  <c r="K10" i="1"/>
  <c r="K10" i="16" s="1"/>
  <c r="L10" i="16" s="1"/>
  <c r="G27" i="15"/>
  <c r="G28" i="15" s="1"/>
  <c r="G55" i="16"/>
  <c r="G57" i="16" s="1"/>
  <c r="G84" i="16" s="1"/>
  <c r="G26" i="1"/>
  <c r="J13" i="12"/>
  <c r="J24" i="12" s="1"/>
  <c r="J24" i="1"/>
  <c r="K14" i="12"/>
  <c r="L14" i="12" s="1"/>
  <c r="J11" i="15"/>
  <c r="I18" i="11"/>
  <c r="J17" i="11"/>
  <c r="J25" i="11" s="1"/>
  <c r="J17" i="12"/>
  <c r="J26" i="12" s="1"/>
  <c r="I17" i="12"/>
  <c r="I26" i="12" s="1"/>
  <c r="K17" i="13"/>
  <c r="L17" i="13" s="1"/>
  <c r="I29" i="16"/>
  <c r="K14" i="13"/>
  <c r="K14" i="15"/>
  <c r="L14" i="15" s="1"/>
  <c r="J14" i="13"/>
  <c r="J25" i="13" s="1"/>
  <c r="J13" i="13"/>
  <c r="J24" i="13" s="1"/>
  <c r="I12" i="16"/>
  <c r="I11" i="11"/>
  <c r="I21" i="11"/>
  <c r="I9" i="16"/>
  <c r="I11" i="1"/>
  <c r="I21" i="1"/>
  <c r="I37" i="16" s="1"/>
  <c r="K10" i="12"/>
  <c r="L14" i="11"/>
  <c r="I18" i="16"/>
  <c r="I22" i="13"/>
  <c r="I46" i="16" s="1"/>
  <c r="I11" i="13"/>
  <c r="J10" i="12"/>
  <c r="J16" i="16" s="1"/>
  <c r="I13" i="14"/>
  <c r="J13" i="15"/>
  <c r="J24" i="15" s="1"/>
  <c r="I25" i="1"/>
  <c r="H55" i="15"/>
  <c r="H56" i="15" s="1"/>
  <c r="H64" i="15" s="1"/>
  <c r="J17" i="15"/>
  <c r="I17" i="15"/>
  <c r="I26" i="15" s="1"/>
  <c r="K13" i="1"/>
  <c r="L13" i="1" s="1"/>
  <c r="J22" i="11"/>
  <c r="J41" i="16" s="1"/>
  <c r="I25" i="16"/>
  <c r="I23" i="15"/>
  <c r="I53" i="16" s="1"/>
  <c r="J9" i="12"/>
  <c r="J22" i="12" s="1"/>
  <c r="J43" i="16" s="1"/>
  <c r="J10" i="14"/>
  <c r="J11" i="14" s="1"/>
  <c r="I19" i="16"/>
  <c r="I23" i="13"/>
  <c r="I47" i="16" s="1"/>
  <c r="L14" i="1"/>
  <c r="K14" i="14"/>
  <c r="L14" i="14" s="1"/>
  <c r="K13" i="11"/>
  <c r="L13" i="11" s="1"/>
  <c r="K17" i="1"/>
  <c r="L17" i="1" s="1"/>
  <c r="J11" i="1"/>
  <c r="H46" i="16"/>
  <c r="H27" i="13"/>
  <c r="H28" i="13" s="1"/>
  <c r="J9" i="11"/>
  <c r="H29" i="16"/>
  <c r="K17" i="16"/>
  <c r="L17" i="16" s="1"/>
  <c r="L8" i="1"/>
  <c r="J18" i="1"/>
  <c r="K24" i="1"/>
  <c r="L8" i="12"/>
  <c r="W70" i="1"/>
  <c r="K11" i="16"/>
  <c r="L11" i="16" s="1"/>
  <c r="AA170" i="5"/>
  <c r="L8" i="14"/>
  <c r="K24" i="12"/>
  <c r="X71" i="13"/>
  <c r="K51" i="13" s="1"/>
  <c r="L51" i="13" s="1"/>
  <c r="K24" i="15"/>
  <c r="N462" i="5"/>
  <c r="N466" i="5" s="1"/>
  <c r="M466" i="5"/>
  <c r="N308" i="5"/>
  <c r="N312" i="5" s="1"/>
  <c r="M312" i="5"/>
  <c r="K10" i="13" s="1"/>
  <c r="N381" i="5"/>
  <c r="N385" i="5" s="1"/>
  <c r="M385" i="5"/>
  <c r="K9" i="14" s="1"/>
  <c r="N300" i="5"/>
  <c r="N304" i="5" s="1"/>
  <c r="M304" i="5"/>
  <c r="K9" i="13" s="1"/>
  <c r="J24" i="14"/>
  <c r="J19" i="14"/>
  <c r="N470" i="5"/>
  <c r="N474" i="5" s="1"/>
  <c r="M474" i="5"/>
  <c r="K10" i="15" s="1"/>
  <c r="K26" i="15"/>
  <c r="K24" i="13"/>
  <c r="J23" i="1"/>
  <c r="N227" i="5"/>
  <c r="N231" i="5" s="1"/>
  <c r="M231" i="5"/>
  <c r="N146" i="5"/>
  <c r="N150" i="5" s="1"/>
  <c r="M150" i="5"/>
  <c r="N57" i="5"/>
  <c r="N61" i="5" s="1"/>
  <c r="M61" i="5"/>
  <c r="K9" i="1" s="1"/>
  <c r="K24" i="11"/>
  <c r="L24" i="11" s="1"/>
  <c r="N65" i="5"/>
  <c r="N69" i="5" s="1"/>
  <c r="M69" i="5"/>
  <c r="N389" i="5"/>
  <c r="N393" i="5" s="1"/>
  <c r="M393" i="5"/>
  <c r="K10" i="14" s="1"/>
  <c r="N219" i="5"/>
  <c r="N223" i="5" s="1"/>
  <c r="M223" i="5"/>
  <c r="K9" i="12" s="1"/>
  <c r="N138" i="5"/>
  <c r="N142" i="5" s="1"/>
  <c r="M142" i="5"/>
  <c r="K9" i="11" s="1"/>
  <c r="AB491" i="5"/>
  <c r="X70" i="12"/>
  <c r="K50" i="12" s="1"/>
  <c r="AB186" i="5"/>
  <c r="W72" i="15"/>
  <c r="AB330" i="5"/>
  <c r="Z81" i="15"/>
  <c r="X68" i="11"/>
  <c r="K48" i="11" s="1"/>
  <c r="AB331" i="5"/>
  <c r="X70" i="13"/>
  <c r="K50" i="13" s="1"/>
  <c r="X66" i="11"/>
  <c r="AB510" i="5"/>
  <c r="X70" i="14"/>
  <c r="K50" i="14" s="1"/>
  <c r="L50" i="14" s="1"/>
  <c r="W117" i="16"/>
  <c r="K13" i="19" s="1"/>
  <c r="AB410" i="5"/>
  <c r="J54" i="13"/>
  <c r="X68" i="15"/>
  <c r="K15" i="15" s="1"/>
  <c r="L15" i="15" s="1"/>
  <c r="AA332" i="5"/>
  <c r="AB249" i="5"/>
  <c r="W72" i="13"/>
  <c r="AB167" i="5"/>
  <c r="AA494" i="5"/>
  <c r="X71" i="14"/>
  <c r="K51" i="14" s="1"/>
  <c r="AB412" i="5"/>
  <c r="N450" i="5"/>
  <c r="N452" i="5"/>
  <c r="N369" i="5"/>
  <c r="N371" i="5"/>
  <c r="AB88" i="5"/>
  <c r="X69" i="1"/>
  <c r="J21" i="19"/>
  <c r="N209" i="5"/>
  <c r="N207" i="5"/>
  <c r="AB169" i="5"/>
  <c r="X69" i="11"/>
  <c r="I52" i="1"/>
  <c r="I79" i="16"/>
  <c r="V121" i="16"/>
  <c r="I80" i="16"/>
  <c r="AB348" i="5"/>
  <c r="X68" i="13"/>
  <c r="AB329" i="5"/>
  <c r="X71" i="15"/>
  <c r="K51" i="15" s="1"/>
  <c r="L51" i="15" s="1"/>
  <c r="AB493" i="5"/>
  <c r="AB27" i="5"/>
  <c r="AE148" i="5"/>
  <c r="AB28" i="5"/>
  <c r="AE67" i="5"/>
  <c r="AE310" i="5"/>
  <c r="AB29" i="5"/>
  <c r="AE229" i="5"/>
  <c r="AE472" i="5"/>
  <c r="AE391" i="5"/>
  <c r="N128" i="5"/>
  <c r="N126" i="5"/>
  <c r="AB248" i="5"/>
  <c r="AB267" i="5"/>
  <c r="X68" i="12"/>
  <c r="W72" i="14"/>
  <c r="AA251" i="5"/>
  <c r="X70" i="15"/>
  <c r="K50" i="15" s="1"/>
  <c r="AB492" i="5"/>
  <c r="N45" i="5"/>
  <c r="N47" i="5"/>
  <c r="AB87" i="5"/>
  <c r="X68" i="1"/>
  <c r="K48" i="1" s="1"/>
  <c r="X68" i="14"/>
  <c r="AB429" i="5"/>
  <c r="J49" i="1"/>
  <c r="W120" i="16"/>
  <c r="K20" i="19" s="1"/>
  <c r="I30" i="16"/>
  <c r="AC30" i="5"/>
  <c r="AB2" i="5"/>
  <c r="X66" i="1"/>
  <c r="AB86" i="5"/>
  <c r="AB105" i="5"/>
  <c r="X71" i="12"/>
  <c r="K51" i="12" s="1"/>
  <c r="L51" i="12" s="1"/>
  <c r="AB250" i="5"/>
  <c r="AB411" i="5"/>
  <c r="N290" i="5"/>
  <c r="N288" i="5"/>
  <c r="J54" i="14"/>
  <c r="AA413" i="5"/>
  <c r="K21" i="13"/>
  <c r="K45" i="16" s="1"/>
  <c r="J50" i="12"/>
  <c r="J54" i="12" s="1"/>
  <c r="W72" i="12"/>
  <c r="I21" i="12"/>
  <c r="I23" i="12"/>
  <c r="I22" i="12"/>
  <c r="L26" i="14"/>
  <c r="K20" i="1"/>
  <c r="K21" i="14"/>
  <c r="J21" i="1"/>
  <c r="J20" i="1"/>
  <c r="J22" i="1"/>
  <c r="J38" i="16" s="1"/>
  <c r="J21" i="13"/>
  <c r="J23" i="13"/>
  <c r="J47" i="16" s="1"/>
  <c r="J22" i="13"/>
  <c r="J48" i="11"/>
  <c r="W119" i="16"/>
  <c r="K19" i="19" s="1"/>
  <c r="W70" i="11"/>
  <c r="K21" i="12"/>
  <c r="I55" i="16"/>
  <c r="J21" i="12"/>
  <c r="J42" i="16" s="1"/>
  <c r="K21" i="15"/>
  <c r="H5" i="4"/>
  <c r="H5" i="9"/>
  <c r="H5" i="10"/>
  <c r="H5" i="8"/>
  <c r="H6" i="1"/>
  <c r="H5" i="7"/>
  <c r="J30" i="16"/>
  <c r="L13" i="14" l="1"/>
  <c r="K23" i="1"/>
  <c r="L23" i="1" s="1"/>
  <c r="I27" i="15"/>
  <c r="H55" i="13"/>
  <c r="H56" i="13" s="1"/>
  <c r="H64" i="13" s="1"/>
  <c r="L24" i="1"/>
  <c r="H28" i="14"/>
  <c r="L14" i="13"/>
  <c r="J19" i="13"/>
  <c r="L25" i="11"/>
  <c r="J23" i="12"/>
  <c r="J44" i="16" s="1"/>
  <c r="L20" i="11"/>
  <c r="L24" i="13"/>
  <c r="L10" i="12"/>
  <c r="L13" i="15"/>
  <c r="K15" i="19"/>
  <c r="H33" i="16"/>
  <c r="H34" i="16" s="1"/>
  <c r="K15" i="14"/>
  <c r="K19" i="14" s="1"/>
  <c r="X118" i="16"/>
  <c r="L14" i="19" s="1"/>
  <c r="I56" i="16"/>
  <c r="L26" i="12"/>
  <c r="K25" i="1"/>
  <c r="L25" i="1" s="1"/>
  <c r="J19" i="15"/>
  <c r="J18" i="11"/>
  <c r="H28" i="12"/>
  <c r="K15" i="11"/>
  <c r="K18" i="11" s="1"/>
  <c r="K23" i="11"/>
  <c r="L23" i="11" s="1"/>
  <c r="H27" i="11"/>
  <c r="J55" i="16"/>
  <c r="L13" i="12"/>
  <c r="I19" i="12"/>
  <c r="I26" i="1"/>
  <c r="I27" i="1" s="1"/>
  <c r="K32" i="16"/>
  <c r="L17" i="11"/>
  <c r="G55" i="15"/>
  <c r="G56" i="15" s="1"/>
  <c r="G64" i="15" s="1"/>
  <c r="F90" i="16"/>
  <c r="K25" i="14"/>
  <c r="L25" i="14" s="1"/>
  <c r="K28" i="16"/>
  <c r="I32" i="16"/>
  <c r="L24" i="15"/>
  <c r="L9" i="12"/>
  <c r="K15" i="16"/>
  <c r="K22" i="12"/>
  <c r="K43" i="16" s="1"/>
  <c r="K11" i="12"/>
  <c r="K21" i="16"/>
  <c r="L21" i="16" s="1"/>
  <c r="K11" i="14"/>
  <c r="L9" i="14"/>
  <c r="K22" i="14"/>
  <c r="L9" i="13"/>
  <c r="K11" i="13"/>
  <c r="K22" i="13"/>
  <c r="K46" i="16" s="1"/>
  <c r="K18" i="16"/>
  <c r="L18" i="16" s="1"/>
  <c r="K23" i="15"/>
  <c r="K53" i="16" s="1"/>
  <c r="L53" i="16" s="1"/>
  <c r="L10" i="15"/>
  <c r="K25" i="16"/>
  <c r="L25" i="16" s="1"/>
  <c r="K11" i="11"/>
  <c r="L9" i="11"/>
  <c r="K12" i="16"/>
  <c r="K21" i="11"/>
  <c r="K40" i="16" s="1"/>
  <c r="K22" i="16"/>
  <c r="K23" i="14"/>
  <c r="K50" i="16" s="1"/>
  <c r="L9" i="1"/>
  <c r="K11" i="1"/>
  <c r="K21" i="1"/>
  <c r="K37" i="16" s="1"/>
  <c r="K9" i="16"/>
  <c r="L9" i="16" s="1"/>
  <c r="K19" i="16"/>
  <c r="L19" i="16" s="1"/>
  <c r="K23" i="13"/>
  <c r="L23" i="13" s="1"/>
  <c r="L10" i="13"/>
  <c r="L13" i="13"/>
  <c r="J29" i="16"/>
  <c r="K23" i="12"/>
  <c r="K44" i="16" s="1"/>
  <c r="K29" i="16"/>
  <c r="H55" i="14"/>
  <c r="H56" i="14" s="1"/>
  <c r="H64" i="14" s="1"/>
  <c r="J26" i="15"/>
  <c r="J56" i="16" s="1"/>
  <c r="J22" i="16"/>
  <c r="J23" i="14"/>
  <c r="J50" i="16" s="1"/>
  <c r="L10" i="11"/>
  <c r="L10" i="14"/>
  <c r="J15" i="16"/>
  <c r="J11" i="12"/>
  <c r="I26" i="16"/>
  <c r="G27" i="1"/>
  <c r="G53" i="1"/>
  <c r="G54" i="1" s="1"/>
  <c r="G58" i="16"/>
  <c r="J12" i="16"/>
  <c r="J21" i="11"/>
  <c r="J11" i="11"/>
  <c r="J32" i="16"/>
  <c r="K22" i="1"/>
  <c r="K38" i="16" s="1"/>
  <c r="L38" i="16" s="1"/>
  <c r="K13" i="16"/>
  <c r="L13" i="16" s="1"/>
  <c r="L17" i="12"/>
  <c r="J28" i="16"/>
  <c r="I40" i="16"/>
  <c r="I26" i="11"/>
  <c r="H54" i="16"/>
  <c r="H57" i="16" s="1"/>
  <c r="H26" i="1"/>
  <c r="K11" i="15"/>
  <c r="L9" i="15"/>
  <c r="L24" i="12"/>
  <c r="K26" i="13"/>
  <c r="L26" i="13" s="1"/>
  <c r="I24" i="14"/>
  <c r="L24" i="14" s="1"/>
  <c r="I19" i="14"/>
  <c r="I28" i="16"/>
  <c r="K24" i="16"/>
  <c r="L24" i="16" s="1"/>
  <c r="K16" i="16"/>
  <c r="L16" i="16" s="1"/>
  <c r="J19" i="12"/>
  <c r="L17" i="15"/>
  <c r="L10" i="1"/>
  <c r="K25" i="12"/>
  <c r="L25" i="12" s="1"/>
  <c r="I27" i="13"/>
  <c r="I55" i="13" s="1"/>
  <c r="I56" i="13" s="1"/>
  <c r="I64" i="13" s="1"/>
  <c r="K25" i="15"/>
  <c r="L25" i="15" s="1"/>
  <c r="K25" i="13"/>
  <c r="L25" i="13" s="1"/>
  <c r="I19" i="15"/>
  <c r="J54" i="16"/>
  <c r="K54" i="13"/>
  <c r="K41" i="16"/>
  <c r="L41" i="16" s="1"/>
  <c r="L22" i="11"/>
  <c r="Y68" i="11"/>
  <c r="L50" i="13"/>
  <c r="L54" i="13" s="1"/>
  <c r="Y66" i="11"/>
  <c r="AB332" i="5"/>
  <c r="I83" i="16"/>
  <c r="K54" i="14"/>
  <c r="X72" i="15"/>
  <c r="AB413" i="5"/>
  <c r="W121" i="16"/>
  <c r="AB494" i="5"/>
  <c r="K19" i="15"/>
  <c r="AB89" i="5"/>
  <c r="K21" i="19"/>
  <c r="AB170" i="5"/>
  <c r="X72" i="14"/>
  <c r="K15" i="1"/>
  <c r="X70" i="1"/>
  <c r="K54" i="12"/>
  <c r="L51" i="14"/>
  <c r="L54" i="14" s="1"/>
  <c r="K49" i="1"/>
  <c r="K52" i="1" s="1"/>
  <c r="X120" i="16"/>
  <c r="L20" i="19" s="1"/>
  <c r="M20" i="19" s="1"/>
  <c r="L50" i="15"/>
  <c r="L54" i="15" s="1"/>
  <c r="K54" i="15"/>
  <c r="X72" i="12"/>
  <c r="J52" i="1"/>
  <c r="J80" i="16"/>
  <c r="AB251" i="5"/>
  <c r="Y69" i="11"/>
  <c r="K49" i="11"/>
  <c r="AC28" i="5"/>
  <c r="AF67" i="5"/>
  <c r="AC29" i="5"/>
  <c r="AC27" i="5"/>
  <c r="X119" i="16"/>
  <c r="L19" i="19" s="1"/>
  <c r="M19" i="19" s="1"/>
  <c r="X70" i="11"/>
  <c r="Y70" i="11" s="1"/>
  <c r="L48" i="1"/>
  <c r="X72" i="13"/>
  <c r="K15" i="13"/>
  <c r="L50" i="12"/>
  <c r="L54" i="12" s="1"/>
  <c r="X117" i="16"/>
  <c r="L13" i="19" s="1"/>
  <c r="M13" i="19" s="1"/>
  <c r="K15" i="12"/>
  <c r="K36" i="16"/>
  <c r="K48" i="16"/>
  <c r="L48" i="16" s="1"/>
  <c r="L21" i="14"/>
  <c r="J79" i="16"/>
  <c r="J52" i="11"/>
  <c r="K42" i="16"/>
  <c r="J46" i="16"/>
  <c r="J45" i="16"/>
  <c r="L45" i="16" s="1"/>
  <c r="J27" i="13"/>
  <c r="L21" i="13"/>
  <c r="K52" i="16"/>
  <c r="L52" i="16" s="1"/>
  <c r="L22" i="15"/>
  <c r="I43" i="16"/>
  <c r="K51" i="16"/>
  <c r="L51" i="16" s="1"/>
  <c r="L21" i="15"/>
  <c r="K79" i="16"/>
  <c r="L48" i="11"/>
  <c r="J37" i="16"/>
  <c r="I42" i="16"/>
  <c r="L21" i="12"/>
  <c r="I27" i="12"/>
  <c r="J36" i="16"/>
  <c r="L20" i="1"/>
  <c r="J26" i="1"/>
  <c r="I44" i="16"/>
  <c r="I5" i="1"/>
  <c r="H6" i="7"/>
  <c r="H6" i="8"/>
  <c r="H6" i="4"/>
  <c r="H6" i="10"/>
  <c r="H6" i="9"/>
  <c r="L15" i="14"/>
  <c r="L19" i="14" s="1"/>
  <c r="I28" i="15" l="1"/>
  <c r="L11" i="14"/>
  <c r="L22" i="12"/>
  <c r="L11" i="12"/>
  <c r="J27" i="12"/>
  <c r="I55" i="15"/>
  <c r="I56" i="15" s="1"/>
  <c r="I64" i="15" s="1"/>
  <c r="L19" i="15"/>
  <c r="L43" i="16"/>
  <c r="L11" i="15"/>
  <c r="K54" i="16"/>
  <c r="L15" i="11"/>
  <c r="L18" i="11" s="1"/>
  <c r="J33" i="16"/>
  <c r="L12" i="16"/>
  <c r="L23" i="15"/>
  <c r="L11" i="11"/>
  <c r="J27" i="14"/>
  <c r="J55" i="14" s="1"/>
  <c r="J56" i="14" s="1"/>
  <c r="J64" i="14" s="1"/>
  <c r="I33" i="16"/>
  <c r="I34" i="16" s="1"/>
  <c r="K27" i="13"/>
  <c r="K26" i="1"/>
  <c r="K55" i="16"/>
  <c r="L55" i="16" s="1"/>
  <c r="L46" i="16"/>
  <c r="I53" i="1"/>
  <c r="I54" i="1" s="1"/>
  <c r="I62" i="1" s="1"/>
  <c r="L21" i="1"/>
  <c r="L50" i="16"/>
  <c r="L11" i="13"/>
  <c r="L37" i="16"/>
  <c r="L22" i="16"/>
  <c r="L44" i="16"/>
  <c r="L11" i="1"/>
  <c r="K27" i="12"/>
  <c r="L26" i="15"/>
  <c r="K27" i="14"/>
  <c r="K55" i="14" s="1"/>
  <c r="K56" i="14" s="1"/>
  <c r="L32" i="16"/>
  <c r="L23" i="12"/>
  <c r="L22" i="13"/>
  <c r="L27" i="13" s="1"/>
  <c r="J28" i="12"/>
  <c r="J27" i="15"/>
  <c r="J28" i="15" s="1"/>
  <c r="H84" i="16"/>
  <c r="H58" i="16"/>
  <c r="K49" i="16"/>
  <c r="L49" i="16" s="1"/>
  <c r="K47" i="16"/>
  <c r="L47" i="16" s="1"/>
  <c r="K26" i="11"/>
  <c r="K27" i="11" s="1"/>
  <c r="K56" i="16"/>
  <c r="L56" i="16" s="1"/>
  <c r="J40" i="16"/>
  <c r="L40" i="16" s="1"/>
  <c r="J26" i="11"/>
  <c r="J27" i="11" s="1"/>
  <c r="K26" i="16"/>
  <c r="J26" i="16"/>
  <c r="L15" i="16"/>
  <c r="L21" i="11"/>
  <c r="L26" i="11" s="1"/>
  <c r="L22" i="14"/>
  <c r="L23" i="14"/>
  <c r="H27" i="1"/>
  <c r="H53" i="1"/>
  <c r="H54" i="1" s="1"/>
  <c r="I28" i="13"/>
  <c r="K27" i="15"/>
  <c r="K55" i="15" s="1"/>
  <c r="K56" i="15" s="1"/>
  <c r="L22" i="1"/>
  <c r="G62" i="1"/>
  <c r="G100" i="16" s="1"/>
  <c r="G87" i="16"/>
  <c r="G90" i="16" s="1"/>
  <c r="L29" i="16"/>
  <c r="L28" i="16"/>
  <c r="I54" i="16"/>
  <c r="I27" i="14"/>
  <c r="I55" i="14" s="1"/>
  <c r="I56" i="14" s="1"/>
  <c r="I64" i="14" s="1"/>
  <c r="I53" i="11"/>
  <c r="I54" i="11" s="1"/>
  <c r="I62" i="11" s="1"/>
  <c r="I27" i="11"/>
  <c r="L49" i="1"/>
  <c r="L52" i="1" s="1"/>
  <c r="J83" i="16"/>
  <c r="K19" i="12"/>
  <c r="L15" i="12"/>
  <c r="L19" i="12" s="1"/>
  <c r="X121" i="16"/>
  <c r="K30" i="16"/>
  <c r="K33" i="16" s="1"/>
  <c r="J55" i="12"/>
  <c r="J56" i="12" s="1"/>
  <c r="J64" i="12" s="1"/>
  <c r="K19" i="13"/>
  <c r="L15" i="13"/>
  <c r="L19" i="13" s="1"/>
  <c r="K80" i="16"/>
  <c r="K83" i="16" s="1"/>
  <c r="K52" i="11"/>
  <c r="L49" i="11"/>
  <c r="L52" i="11" s="1"/>
  <c r="L36" i="16"/>
  <c r="L21" i="19"/>
  <c r="M21" i="19" s="1"/>
  <c r="K18" i="1"/>
  <c r="L15" i="1"/>
  <c r="L18" i="1" s="1"/>
  <c r="J28" i="13"/>
  <c r="J55" i="13"/>
  <c r="J56" i="13" s="1"/>
  <c r="J64" i="13" s="1"/>
  <c r="I28" i="12"/>
  <c r="I55" i="12"/>
  <c r="I56" i="12" s="1"/>
  <c r="L42" i="16"/>
  <c r="L79" i="16"/>
  <c r="J53" i="1"/>
  <c r="J54" i="1" s="1"/>
  <c r="J27" i="1"/>
  <c r="I5" i="10"/>
  <c r="I5" i="7"/>
  <c r="I5" i="9"/>
  <c r="I5" i="4"/>
  <c r="I6" i="1"/>
  <c r="I5" i="8"/>
  <c r="M14" i="19"/>
  <c r="L15" i="19"/>
  <c r="M15" i="19" s="1"/>
  <c r="L54" i="16" l="1"/>
  <c r="L27" i="12"/>
  <c r="L55" i="12" s="1"/>
  <c r="I57" i="16"/>
  <c r="I84" i="16" s="1"/>
  <c r="J28" i="14"/>
  <c r="L26" i="1"/>
  <c r="L27" i="15"/>
  <c r="L55" i="15" s="1"/>
  <c r="L27" i="11"/>
  <c r="K28" i="13"/>
  <c r="L28" i="13" s="1"/>
  <c r="K28" i="14"/>
  <c r="L26" i="16"/>
  <c r="K27" i="1"/>
  <c r="L27" i="1" s="1"/>
  <c r="K28" i="12"/>
  <c r="L28" i="12" s="1"/>
  <c r="J34" i="16"/>
  <c r="J55" i="15"/>
  <c r="J56" i="15" s="1"/>
  <c r="J64" i="15" s="1"/>
  <c r="L27" i="14"/>
  <c r="L55" i="14" s="1"/>
  <c r="K28" i="15"/>
  <c r="L28" i="15" s="1"/>
  <c r="K57" i="16"/>
  <c r="K84" i="16" s="1"/>
  <c r="J57" i="16"/>
  <c r="J84" i="16" s="1"/>
  <c r="J53" i="11"/>
  <c r="J54" i="11" s="1"/>
  <c r="J62" i="11" s="1"/>
  <c r="K53" i="11"/>
  <c r="K54" i="11" s="1"/>
  <c r="K62" i="11" s="1"/>
  <c r="L62" i="11" s="1"/>
  <c r="I28" i="14"/>
  <c r="H62" i="1"/>
  <c r="H100" i="16" s="1"/>
  <c r="H87" i="16"/>
  <c r="H90" i="16" s="1"/>
  <c r="L53" i="11"/>
  <c r="K55" i="12"/>
  <c r="K56" i="12" s="1"/>
  <c r="K64" i="12" s="1"/>
  <c r="L80" i="16"/>
  <c r="L83" i="16" s="1"/>
  <c r="K53" i="1"/>
  <c r="K54" i="1" s="1"/>
  <c r="K62" i="1" s="1"/>
  <c r="K55" i="13"/>
  <c r="K56" i="13" s="1"/>
  <c r="K64" i="13" s="1"/>
  <c r="L64" i="13" s="1"/>
  <c r="L30" i="16"/>
  <c r="L33" i="16" s="1"/>
  <c r="L55" i="13"/>
  <c r="L53" i="1"/>
  <c r="L57" i="16"/>
  <c r="I64" i="12"/>
  <c r="I100" i="16" s="1"/>
  <c r="I87" i="16"/>
  <c r="K64" i="15"/>
  <c r="J62" i="1"/>
  <c r="J5" i="1"/>
  <c r="I6" i="9"/>
  <c r="I6" i="7"/>
  <c r="I6" i="8"/>
  <c r="I6" i="4"/>
  <c r="I6" i="10"/>
  <c r="K64" i="14"/>
  <c r="L64" i="14" s="1"/>
  <c r="L56" i="14"/>
  <c r="K34" i="16"/>
  <c r="L28" i="14" l="1"/>
  <c r="I58" i="16"/>
  <c r="L64" i="15"/>
  <c r="L56" i="15"/>
  <c r="J87" i="16"/>
  <c r="J90" i="16" s="1"/>
  <c r="J58" i="16"/>
  <c r="L54" i="11"/>
  <c r="L56" i="12"/>
  <c r="L56" i="13"/>
  <c r="L84" i="16"/>
  <c r="K87" i="16"/>
  <c r="K90" i="16" s="1"/>
  <c r="L54" i="1"/>
  <c r="I90" i="16"/>
  <c r="J100" i="16"/>
  <c r="L62" i="1"/>
  <c r="K100" i="16"/>
  <c r="L64" i="12"/>
  <c r="J5" i="9"/>
  <c r="J5" i="4"/>
  <c r="J6" i="1"/>
  <c r="J5" i="8"/>
  <c r="J5" i="7"/>
  <c r="J5" i="10"/>
  <c r="K58" i="16"/>
  <c r="L34" i="16"/>
  <c r="L58" i="16" s="1"/>
  <c r="L90" i="16" l="1"/>
  <c r="L87" i="16"/>
  <c r="L100" i="16"/>
  <c r="B55" i="1" s="1"/>
  <c r="B56" i="1" s="1"/>
  <c r="K5" i="1"/>
  <c r="J6" i="9"/>
  <c r="J6" i="4"/>
  <c r="J6" i="10"/>
  <c r="J6" i="7"/>
  <c r="J6" i="8"/>
  <c r="K57" i="15" l="1"/>
  <c r="K58" i="15" s="1"/>
  <c r="F55" i="11"/>
  <c r="F56" i="11" s="1"/>
  <c r="G57" i="14"/>
  <c r="G58" i="14" s="1"/>
  <c r="F57" i="15"/>
  <c r="F58" i="15" s="1"/>
  <c r="D57" i="12"/>
  <c r="D58" i="12" s="1"/>
  <c r="D89" i="16"/>
  <c r="D91" i="16" s="1"/>
  <c r="I57" i="14"/>
  <c r="I58" i="14" s="1"/>
  <c r="I89" i="16"/>
  <c r="I91" i="16" s="1"/>
  <c r="H57" i="14"/>
  <c r="H58" i="14" s="1"/>
  <c r="G89" i="16"/>
  <c r="G91" i="16" s="1"/>
  <c r="J57" i="14"/>
  <c r="J58" i="14" s="1"/>
  <c r="C57" i="13"/>
  <c r="C58" i="13" s="1"/>
  <c r="B57" i="14"/>
  <c r="B58" i="14" s="1"/>
  <c r="K55" i="11"/>
  <c r="K56" i="11" s="1"/>
  <c r="K57" i="14"/>
  <c r="K58" i="14" s="1"/>
  <c r="J57" i="12"/>
  <c r="J58" i="12" s="1"/>
  <c r="K57" i="13"/>
  <c r="K58" i="13" s="1"/>
  <c r="C57" i="12"/>
  <c r="C58" i="12" s="1"/>
  <c r="E55" i="11"/>
  <c r="E56" i="11" s="1"/>
  <c r="G57" i="12"/>
  <c r="G58" i="12" s="1"/>
  <c r="E55" i="1"/>
  <c r="E56" i="1" s="1"/>
  <c r="G57" i="15"/>
  <c r="G58" i="15" s="1"/>
  <c r="C57" i="14"/>
  <c r="C58" i="14" s="1"/>
  <c r="D57" i="14"/>
  <c r="D58" i="14" s="1"/>
  <c r="E57" i="15"/>
  <c r="E58" i="15" s="1"/>
  <c r="B89" i="16"/>
  <c r="B91" i="16" s="1"/>
  <c r="F57" i="12"/>
  <c r="F58" i="12" s="1"/>
  <c r="H55" i="11"/>
  <c r="H56" i="11" s="1"/>
  <c r="H57" i="13"/>
  <c r="H58" i="13" s="1"/>
  <c r="B55" i="11"/>
  <c r="B56" i="11" s="1"/>
  <c r="D55" i="1"/>
  <c r="D56" i="1" s="1"/>
  <c r="G57" i="13"/>
  <c r="G58" i="13" s="1"/>
  <c r="C89" i="16"/>
  <c r="C91" i="16" s="1"/>
  <c r="C55" i="1"/>
  <c r="C56" i="1" s="1"/>
  <c r="I57" i="13"/>
  <c r="I58" i="13" s="1"/>
  <c r="E57" i="14"/>
  <c r="E58" i="14" s="1"/>
  <c r="F55" i="1"/>
  <c r="F56" i="1" s="1"/>
  <c r="I57" i="15"/>
  <c r="I58" i="15" s="1"/>
  <c r="D55" i="11"/>
  <c r="D56" i="11" s="1"/>
  <c r="K55" i="1"/>
  <c r="K56" i="1" s="1"/>
  <c r="K89" i="16"/>
  <c r="K91" i="16" s="1"/>
  <c r="F57" i="13"/>
  <c r="F58" i="13" s="1"/>
  <c r="C55" i="11"/>
  <c r="C56" i="11" s="1"/>
  <c r="E57" i="13"/>
  <c r="E58" i="13" s="1"/>
  <c r="H89" i="16"/>
  <c r="H91" i="16" s="1"/>
  <c r="B57" i="15"/>
  <c r="B58" i="15" s="1"/>
  <c r="K57" i="12"/>
  <c r="K58" i="12" s="1"/>
  <c r="H57" i="12"/>
  <c r="H58" i="12" s="1"/>
  <c r="F89" i="16"/>
  <c r="F91" i="16" s="1"/>
  <c r="E89" i="16"/>
  <c r="E91" i="16" s="1"/>
  <c r="G55" i="11"/>
  <c r="G56" i="11" s="1"/>
  <c r="F57" i="14"/>
  <c r="F58" i="14" s="1"/>
  <c r="B57" i="12"/>
  <c r="B58" i="12" s="1"/>
  <c r="D57" i="13"/>
  <c r="D58" i="13" s="1"/>
  <c r="I57" i="12"/>
  <c r="I58" i="12" s="1"/>
  <c r="I55" i="1"/>
  <c r="I56" i="1" s="1"/>
  <c r="D57" i="15"/>
  <c r="D58" i="15" s="1"/>
  <c r="J55" i="1"/>
  <c r="J56" i="1" s="1"/>
  <c r="J57" i="15"/>
  <c r="J58" i="15" s="1"/>
  <c r="J57" i="13"/>
  <c r="J58" i="13" s="1"/>
  <c r="J89" i="16"/>
  <c r="J91" i="16" s="1"/>
  <c r="H55" i="1"/>
  <c r="H56" i="1" s="1"/>
  <c r="J55" i="11"/>
  <c r="J56" i="11" s="1"/>
  <c r="I55" i="11"/>
  <c r="I56" i="11" s="1"/>
  <c r="H57" i="15"/>
  <c r="H58" i="15" s="1"/>
  <c r="G55" i="1"/>
  <c r="G56" i="1" s="1"/>
  <c r="E57" i="12"/>
  <c r="E58" i="12" s="1"/>
  <c r="C57" i="15"/>
  <c r="C58" i="15" s="1"/>
  <c r="B57" i="13"/>
  <c r="B58" i="13" s="1"/>
  <c r="K5" i="10"/>
  <c r="K6" i="1"/>
  <c r="K5" i="4"/>
  <c r="K5" i="7"/>
  <c r="K5" i="8"/>
  <c r="K5" i="9"/>
  <c r="L58" i="15" l="1"/>
  <c r="O129" i="16" s="1"/>
  <c r="L91" i="16"/>
  <c r="L56" i="11"/>
  <c r="O125" i="16" s="1"/>
  <c r="L56" i="1"/>
  <c r="O124" i="16" s="1"/>
  <c r="L58" i="12"/>
  <c r="O126" i="16" s="1"/>
  <c r="L58" i="13"/>
  <c r="O127" i="16" s="1"/>
  <c r="L57" i="14"/>
  <c r="L55" i="11"/>
  <c r="L89" i="16"/>
  <c r="L57" i="15"/>
  <c r="L57" i="13"/>
  <c r="L55" i="1"/>
  <c r="L57" i="12"/>
  <c r="L58" i="14"/>
  <c r="O128" i="16" s="1"/>
  <c r="K6" i="10"/>
  <c r="K6" i="4"/>
  <c r="K6" i="9"/>
  <c r="K6" i="8"/>
  <c r="K6" i="7"/>
  <c r="O130" i="16" l="1"/>
  <c r="M9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Leigh Robinson</author>
    <author>Heidi Copeland</author>
  </authors>
  <commentList>
    <comment ref="B5" authorId="0" shapeId="0" xr:uid="{00000000-0006-0000-0000-000001000000}">
      <text>
        <r>
          <rPr>
            <b/>
            <sz val="9"/>
            <color indexed="10"/>
            <rFont val="Tahoma"/>
            <family val="2"/>
          </rPr>
          <t>**</t>
        </r>
        <r>
          <rPr>
            <sz val="9"/>
            <color indexed="10"/>
            <rFont val="Tahoma"/>
            <family val="2"/>
          </rPr>
          <t xml:space="preserve">Adjust the date </t>
        </r>
        <r>
          <rPr>
            <b/>
            <i/>
            <u/>
            <sz val="9"/>
            <color indexed="10"/>
            <rFont val="Tahoma"/>
            <family val="2"/>
          </rPr>
          <t>before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sz val="9"/>
            <color indexed="10"/>
            <rFont val="Tahoma"/>
            <family val="2"/>
          </rPr>
          <t>data entry below!!!</t>
        </r>
      </text>
    </comment>
    <comment ref="A14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to change this, rename tab at bottom of page
</t>
        </r>
      </text>
    </comment>
    <comment ref="B14" authorId="0" shapeId="0" xr:uid="{00000000-0006-0000-0000-000003000000}">
      <text>
        <r>
          <rPr>
            <sz val="9"/>
            <color indexed="81"/>
            <rFont val="Tahoma"/>
            <family val="2"/>
          </rPr>
          <t>Enter PI/Co-PI names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9" authorId="0" shapeId="0" xr:uid="{00000000-0006-0000-0000-000004000000}">
      <text>
        <r>
          <rPr>
            <sz val="9"/>
            <color indexed="81"/>
            <rFont val="Tahoma"/>
            <family val="2"/>
          </rPr>
          <t>Enter PI current salary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0" authorId="0" shapeId="0" xr:uid="{00000000-0006-0000-0000-000005000000}">
      <text>
        <r>
          <rPr>
            <sz val="9"/>
            <color indexed="81"/>
            <rFont val="Tahoma"/>
            <family val="2"/>
          </rPr>
          <t>Enter # of months in green boxes only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73" authorId="1" shapeId="0" xr:uid="{00000000-0006-0000-0000-000006000000}">
      <text>
        <r>
          <rPr>
            <sz val="9"/>
            <color indexed="81"/>
            <rFont val="Tahoma"/>
            <family val="2"/>
          </rPr>
          <t>NIH FY2021 Postdoc Minimum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NOTE: Postdocs can have salaries higher than the NIH minimum, but not lower.</t>
        </r>
      </text>
    </comment>
    <comment ref="B154" authorId="1" shapeId="0" xr:uid="{BC9F09BC-9B56-4910-B40B-C38EC4A1B4C0}">
      <text>
        <r>
          <rPr>
            <sz val="9"/>
            <color indexed="81"/>
            <rFont val="Tahoma"/>
            <family val="2"/>
          </rPr>
          <t>NIH FY2021 Postdoc Minimum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NOTE: Postdocs can have salaries higher than the NIH minimum, but not lower.</t>
        </r>
      </text>
    </comment>
    <comment ref="B235" authorId="1" shapeId="0" xr:uid="{421E9F2A-4DCD-4C91-A83D-B650A9460B11}">
      <text>
        <r>
          <rPr>
            <sz val="9"/>
            <color indexed="81"/>
            <rFont val="Tahoma"/>
            <family val="2"/>
          </rPr>
          <t>NIH FY2021 Postdoc Minimum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NOTE: Postdocs can have salaries higher than the NIH minimum, but not lower.</t>
        </r>
      </text>
    </comment>
    <comment ref="B316" authorId="1" shapeId="0" xr:uid="{1C6BC8F9-6987-4EFC-B462-9E4D62F6B455}">
      <text>
        <r>
          <rPr>
            <sz val="9"/>
            <color indexed="81"/>
            <rFont val="Tahoma"/>
            <family val="2"/>
          </rPr>
          <t>NIH FY2021 Postdoc Minimum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NOTE: Postdocs can have salaries higher than the NIH minimum, but not lower.</t>
        </r>
      </text>
    </comment>
    <comment ref="B397" authorId="1" shapeId="0" xr:uid="{957B4238-07AA-4A8B-97D1-81339BF9F944}">
      <text>
        <r>
          <rPr>
            <sz val="9"/>
            <color indexed="81"/>
            <rFont val="Tahoma"/>
            <family val="2"/>
          </rPr>
          <t>NIH FY2021 Postdoc Minimum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NOTE: Postdocs can have salaries higher than the NIH minimum, but not lower.</t>
        </r>
      </text>
    </comment>
    <comment ref="B478" authorId="1" shapeId="0" xr:uid="{9D5861D6-9472-4EB2-8A5D-5B763D6DC1D7}">
      <text>
        <r>
          <rPr>
            <sz val="9"/>
            <color indexed="81"/>
            <rFont val="Tahoma"/>
            <family val="2"/>
          </rPr>
          <t>NIH FY2021 Postdoc Minimum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NOTE: Postdocs can have salaries higher than the NIH minimum, but not lower.</t>
        </r>
      </text>
    </comment>
  </commentList>
</comments>
</file>

<file path=xl/sharedStrings.xml><?xml version="1.0" encoding="utf-8"?>
<sst xmlns="http://schemas.openxmlformats.org/spreadsheetml/2006/main" count="1815" uniqueCount="241">
  <si>
    <t>Cornell University</t>
  </si>
  <si>
    <t>Year 1</t>
  </si>
  <si>
    <t>Year 2</t>
  </si>
  <si>
    <t>Year 3</t>
  </si>
  <si>
    <t>Budget Categories:</t>
  </si>
  <si>
    <t>Total</t>
  </si>
  <si>
    <t xml:space="preserve"> </t>
  </si>
  <si>
    <t>Fringe Benefits</t>
  </si>
  <si>
    <t>Tuition</t>
  </si>
  <si>
    <t>Student Health Insurance</t>
  </si>
  <si>
    <t>Domestic</t>
  </si>
  <si>
    <t>Foreign</t>
  </si>
  <si>
    <t>Total Travel</t>
  </si>
  <si>
    <t>Other Direct Costs</t>
  </si>
  <si>
    <t>Materials &amp; Supplies</t>
  </si>
  <si>
    <t>Consultant Services</t>
  </si>
  <si>
    <t>Total Direct Costs</t>
  </si>
  <si>
    <t>Modified Direct Costs</t>
  </si>
  <si>
    <t>Total Indirect Costs</t>
  </si>
  <si>
    <t>TOTALS</t>
  </si>
  <si>
    <t>Term</t>
  </si>
  <si>
    <t>Salary Commitment</t>
  </si>
  <si>
    <t>Stipend</t>
  </si>
  <si>
    <t>Summer</t>
  </si>
  <si>
    <t>Health Ins</t>
  </si>
  <si>
    <t>Equipment</t>
  </si>
  <si>
    <t>Total Equipment</t>
  </si>
  <si>
    <t>Participant Support Costs</t>
  </si>
  <si>
    <t>Total Participant Support Costs</t>
  </si>
  <si>
    <t>Other</t>
  </si>
  <si>
    <t>12 Month Stipend</t>
  </si>
  <si>
    <t>Total Support Costs</t>
  </si>
  <si>
    <t>Number of students</t>
  </si>
  <si>
    <t>FY: July 1 - June 30</t>
  </si>
  <si>
    <t>Travel</t>
  </si>
  <si>
    <t>9 Month Stipend</t>
  </si>
  <si>
    <t>Months</t>
  </si>
  <si>
    <t>Subcontract under $25,000</t>
  </si>
  <si>
    <t>Subcontract over $25,000</t>
  </si>
  <si>
    <t>Year 4</t>
  </si>
  <si>
    <t>Subcontract MTDC exclusion</t>
  </si>
  <si>
    <t xml:space="preserve">SubContracts </t>
  </si>
  <si>
    <t>Stipends</t>
  </si>
  <si>
    <t>Subsistence</t>
  </si>
  <si>
    <t>Months devoted to project</t>
  </si>
  <si>
    <t>Year 5</t>
  </si>
  <si>
    <t># of month to FY end</t>
  </si>
  <si>
    <t># of remaining months to proj yr end</t>
  </si>
  <si>
    <t>Title:</t>
  </si>
  <si>
    <t>Project Information</t>
  </si>
  <si>
    <t>PI Name:</t>
  </si>
  <si>
    <t>Start Date:</t>
  </si>
  <si>
    <t>%</t>
  </si>
  <si>
    <t>Co-PI Name:</t>
  </si>
  <si>
    <t>Rates:</t>
  </si>
  <si>
    <t>Salary Calculations:</t>
  </si>
  <si>
    <t>FTE for 12 Months</t>
  </si>
  <si>
    <t>Co-PI</t>
  </si>
  <si>
    <t>Summer - Weekly hours devoted to project</t>
  </si>
  <si>
    <t>Summer - Number of Weeks</t>
  </si>
  <si>
    <t>Academic Year - Weekly hrs devoted to prj.</t>
  </si>
  <si>
    <t>Academic Year - Number of Weeks</t>
  </si>
  <si>
    <t>Capital Equipment</t>
  </si>
  <si>
    <t>Registration</t>
  </si>
  <si>
    <t>Annual Inc.</t>
  </si>
  <si>
    <t>PI</t>
  </si>
  <si>
    <t>Total Academic</t>
  </si>
  <si>
    <t>Total Summer</t>
  </si>
  <si>
    <t>Fiscal Year =</t>
  </si>
  <si>
    <t>Rate per Hour</t>
  </si>
  <si>
    <t>Graduate Student(s)</t>
  </si>
  <si>
    <t>Graduate Student Support</t>
  </si>
  <si>
    <t>Post Doctoral Associate(s)</t>
  </si>
  <si>
    <t>Undergraduate Student(s)</t>
  </si>
  <si>
    <t>Other Professional(s) (Technicians, etc)</t>
  </si>
  <si>
    <t>Tuition/Fees/Health Insurance</t>
  </si>
  <si>
    <t>Publication Costs</t>
  </si>
  <si>
    <t>ADP/Computer Services</t>
  </si>
  <si>
    <t>Equipment or Facility Rental/User Fees</t>
  </si>
  <si>
    <t>Total Fringe Benefits</t>
  </si>
  <si>
    <t>Total Other Direct Costs</t>
  </si>
  <si>
    <t>IDC Rate - Endowed:</t>
  </si>
  <si>
    <t>IDC Rate - Off Campus:</t>
  </si>
  <si>
    <t>*** This number must equal 12</t>
  </si>
  <si>
    <t>annual start date</t>
  </si>
  <si>
    <t>annual end date</t>
  </si>
  <si>
    <t>calendar years</t>
  </si>
  <si>
    <t>Calendar Year(s)</t>
  </si>
  <si>
    <t>Use $15 per hour for Temps</t>
  </si>
  <si>
    <t>Starting Month =</t>
  </si>
  <si>
    <t>Federal</t>
  </si>
  <si>
    <t>Yes</t>
  </si>
  <si>
    <t>Contract College</t>
  </si>
  <si>
    <t>Non-federal</t>
  </si>
  <si>
    <t>No</t>
  </si>
  <si>
    <t>Endowed College</t>
  </si>
  <si>
    <t>Select Funding Type:</t>
  </si>
  <si>
    <t>Post Doc Fringe Benefit Rate:</t>
  </si>
  <si>
    <t>Other Fringe Benefit Rate</t>
  </si>
  <si>
    <t>Is Full IDC allowed?</t>
  </si>
  <si>
    <t>Fringe Benefit Rates:</t>
  </si>
  <si>
    <t>Annual increase</t>
  </si>
  <si>
    <t>Post Doctoral Scholar(s)</t>
  </si>
  <si>
    <t>Fringe Benefits: 9 month appt.</t>
  </si>
  <si>
    <t>Fringe Benefits: 12 month appt.</t>
  </si>
  <si>
    <t>Graduate Student Support Summary</t>
  </si>
  <si>
    <t>Graduate Student Support Detail</t>
  </si>
  <si>
    <t>Pro-rating factor for 12 month appts.:</t>
  </si>
  <si>
    <t>Total Salary and Fringe Benefits</t>
  </si>
  <si>
    <t>Total Indirect Costs - Cornell rate</t>
  </si>
  <si>
    <t>Total Indirect Costs - Sponsor rate</t>
  </si>
  <si>
    <t>Senior Personnel Salary</t>
  </si>
  <si>
    <t>Other Personnel Salary</t>
  </si>
  <si>
    <t>Is Department Contract or Endowed?</t>
  </si>
  <si>
    <t>Tuition - Contract College</t>
  </si>
  <si>
    <t>Tuition - Endowed College</t>
  </si>
  <si>
    <t>Senior Personnel</t>
  </si>
  <si>
    <t>Other Personnel</t>
  </si>
  <si>
    <t>Total Personnel</t>
  </si>
  <si>
    <t>Pro-rating for non-senior personnel:</t>
  </si>
  <si>
    <t>Total Indirect Costs - Cornell rates</t>
  </si>
  <si>
    <t xml:space="preserve">Fringe Benefit Rate - Contract (Federal): </t>
  </si>
  <si>
    <t xml:space="preserve">Fringe Benefit Rate - Contract (Non-federal): </t>
  </si>
  <si>
    <t>Fringe Benefit Rate - Endowed</t>
  </si>
  <si>
    <t>IDC Rate - Contract:</t>
  </si>
  <si>
    <t>IDC Rate - Allowed by Sponsor:</t>
  </si>
  <si>
    <t xml:space="preserve"> Total</t>
  </si>
  <si>
    <t>TDC</t>
  </si>
  <si>
    <t>TFF</t>
  </si>
  <si>
    <t>Research</t>
  </si>
  <si>
    <t>IDC Rate - Campus-Wide Other Sponsor Activity</t>
  </si>
  <si>
    <t>Off</t>
  </si>
  <si>
    <t>On</t>
  </si>
  <si>
    <t>Select Function Type:</t>
  </si>
  <si>
    <t>Is work performed "on" or "off" Campus?</t>
  </si>
  <si>
    <t>Select or Enter Sponsor:</t>
  </si>
  <si>
    <t>NSF</t>
  </si>
  <si>
    <t>NIH</t>
  </si>
  <si>
    <r>
      <t xml:space="preserve">Contract Modified Direct Costs </t>
    </r>
    <r>
      <rPr>
        <b/>
        <sz val="6"/>
        <color theme="0" tint="-0.34998626667073579"/>
        <rFont val="Arial"/>
        <family val="2"/>
      </rPr>
      <t>(On Campus)</t>
    </r>
  </si>
  <si>
    <r>
      <t xml:space="preserve">Contract Modified Direct Costs </t>
    </r>
    <r>
      <rPr>
        <b/>
        <sz val="6"/>
        <color theme="0" tint="-0.499984740745262"/>
        <rFont val="Arial"/>
        <family val="2"/>
      </rPr>
      <t>(Off Campus)</t>
    </r>
  </si>
  <si>
    <r>
      <t xml:space="preserve">Endowed Modified Direct Costs </t>
    </r>
    <r>
      <rPr>
        <b/>
        <sz val="6"/>
        <color theme="0" tint="-0.499984740745262"/>
        <rFont val="Arial"/>
        <family val="2"/>
      </rPr>
      <t>(Off Campus)</t>
    </r>
  </si>
  <si>
    <r>
      <t>Endowed Modified Direct Costs</t>
    </r>
    <r>
      <rPr>
        <b/>
        <sz val="6"/>
        <rFont val="Arial"/>
        <family val="2"/>
      </rPr>
      <t xml:space="preserve"> </t>
    </r>
    <r>
      <rPr>
        <b/>
        <sz val="6"/>
        <color theme="0" tint="-0.249977111117893"/>
        <rFont val="Arial"/>
        <family val="2"/>
      </rPr>
      <t>(On Campus)</t>
    </r>
  </si>
  <si>
    <t>Revise with information for this proposal, copy and paste as picture into budget justification.</t>
  </si>
  <si>
    <t>Ithaca, NY</t>
  </si>
  <si>
    <t>Academic Stipend</t>
  </si>
  <si>
    <t>Summer Stipend</t>
  </si>
  <si>
    <t>GRA Health Insurance Fees</t>
  </si>
  <si>
    <t>GRA Tuition Fees</t>
  </si>
  <si>
    <t>GRA Health Insurance Fee</t>
  </si>
  <si>
    <t>GRA AY Tuition</t>
  </si>
  <si>
    <t>Period 4</t>
  </si>
  <si>
    <t>Period 3</t>
  </si>
  <si>
    <t>Period 2</t>
  </si>
  <si>
    <t>Period 1</t>
  </si>
  <si>
    <t>GRA Other Direct Costs</t>
  </si>
  <si>
    <t>Total GRA Stipend</t>
  </si>
  <si>
    <t>GRA Summer Stipend</t>
  </si>
  <si>
    <t>GRA AY Stipend</t>
  </si>
  <si>
    <t>GRA Stipend Support</t>
  </si>
  <si>
    <t>TOTAL (per year)</t>
  </si>
  <si>
    <t>Add additional periods if needed.</t>
  </si>
  <si>
    <t>Quantity</t>
  </si>
  <si>
    <t>Unit Price</t>
  </si>
  <si>
    <t>Item</t>
  </si>
  <si>
    <t>MTDC Exclusions</t>
  </si>
  <si>
    <t>Rate Agreement</t>
  </si>
  <si>
    <t>Notes</t>
  </si>
  <si>
    <t>Period 5</t>
  </si>
  <si>
    <t>Total GRA ODCs</t>
  </si>
  <si>
    <t>Travel Origin</t>
  </si>
  <si>
    <t>Airfare/ Mileage</t>
  </si>
  <si>
    <t># of Nights</t>
  </si>
  <si>
    <t># of Days</t>
  </si>
  <si>
    <t>Estimated  Trip Cost</t>
  </si>
  <si>
    <t># of Trips</t>
  </si>
  <si>
    <t># of PPL</t>
  </si>
  <si>
    <t>Per Diem (Lodging)</t>
  </si>
  <si>
    <t>Per Diem (M&amp;IE)</t>
  </si>
  <si>
    <t>Total Cost</t>
  </si>
  <si>
    <t>Travel Destination</t>
  </si>
  <si>
    <t>Travel Purpose</t>
  </si>
  <si>
    <t>Publication/Documentation/Dissemination</t>
  </si>
  <si>
    <t>Computer Services</t>
  </si>
  <si>
    <t>Year 6</t>
  </si>
  <si>
    <t>Year 7</t>
  </si>
  <si>
    <t>Year 8</t>
  </si>
  <si>
    <t>Year 9</t>
  </si>
  <si>
    <t>Year 10</t>
  </si>
  <si>
    <t>Year 11</t>
  </si>
  <si>
    <t>Year 12</t>
  </si>
  <si>
    <t>Period 6</t>
  </si>
  <si>
    <t>Period 7</t>
  </si>
  <si>
    <t>Period 8</t>
  </si>
  <si>
    <t>Period 9</t>
  </si>
  <si>
    <t>Period 10</t>
  </si>
  <si>
    <t>Co-PI #2</t>
  </si>
  <si>
    <t>Co-PI #3</t>
  </si>
  <si>
    <t xml:space="preserve">Other </t>
  </si>
  <si>
    <t>NIH Post Doctoral Stipend (Yr 1)</t>
  </si>
  <si>
    <t xml:space="preserve">FLSA exempt minimum wage </t>
  </si>
  <si>
    <t>Minimum Hourly Wage</t>
  </si>
  <si>
    <t>Minimum Undergraduate rate</t>
  </si>
  <si>
    <t>USDA Executive Level IV</t>
  </si>
  <si>
    <t>https://studentemployment.cornell.edu/jobs/wages-and-classifications/student-wage-scale</t>
  </si>
  <si>
    <t xml:space="preserve">(taken from GRA table above) </t>
  </si>
  <si>
    <t>https://health.cornell.edu/get-care/cost-for-service/student-health-fee</t>
  </si>
  <si>
    <t>Health Ins = Student Health Fee plus Student Health Premium</t>
  </si>
  <si>
    <t>student health premium</t>
  </si>
  <si>
    <t>student health fee</t>
  </si>
  <si>
    <t>Health Ins notes (Ithaca/Geneva):</t>
  </si>
  <si>
    <t>(https://grants.nih.gov/grants/guide/notice-files/NOT-OD-24-104.html)</t>
  </si>
  <si>
    <t>NASA</t>
  </si>
  <si>
    <t>AFOSR</t>
  </si>
  <si>
    <t>ONR</t>
  </si>
  <si>
    <t>ARO</t>
  </si>
  <si>
    <t>DOE</t>
  </si>
  <si>
    <t>https://finance.cornell.edu/capitalassets/cost/employee</t>
  </si>
  <si>
    <t>https://grants.nih.gov/grants/policy/salcap_summary.htm</t>
  </si>
  <si>
    <t>https://www.ny.gov/new-york-states-minimum-wage/new-york-states-minimum-wage</t>
  </si>
  <si>
    <t>Base Fiscal Yr:</t>
  </si>
  <si>
    <t>FY25 --550 Student Fee + 3828 SHP=4378    use straight escalation for FY26 forward and replace with FY2026 values when available in Spring 2025</t>
  </si>
  <si>
    <t>Note: NY State Funding for Contract College has 0% fringe rate</t>
  </si>
  <si>
    <t>Domestic Conference</t>
  </si>
  <si>
    <t>TBD</t>
  </si>
  <si>
    <t>Ground Transport</t>
  </si>
  <si>
    <t>Foreign Conference</t>
  </si>
  <si>
    <t>Salary Escalation Rate - Faculty</t>
  </si>
  <si>
    <t>Salary Escalation Rate - Others</t>
  </si>
  <si>
    <t>https://researchservices.cornell.edu/rates/escalation-rates</t>
  </si>
  <si>
    <t>https://help.nfc.usda.gov/bulletins/2024/1705079869.htm</t>
  </si>
  <si>
    <t>https://www.ebchcm.com/blog/new-york-state-exempt-salary-threshold</t>
  </si>
  <si>
    <t>(75% of 12 month value below)</t>
  </si>
  <si>
    <t>(from CALS budget template 6/17/2024)</t>
  </si>
  <si>
    <t>https://finance.cornell.edu/capitalassets/cost/facilities</t>
  </si>
  <si>
    <t>""</t>
  </si>
  <si>
    <t>NIH Salary Cap for 9 month appt</t>
  </si>
  <si>
    <t>NIH Salary Cap for 12 month appt</t>
  </si>
  <si>
    <t>Graduate Student (Stipend, Tuition, Health Ins)</t>
  </si>
  <si>
    <t>FY2025</t>
  </si>
  <si>
    <t>https://studenthealthbenefits.cornell.edu/rates-dates/2024-2025-rates-and-dates</t>
  </si>
  <si>
    <t>Contractor/Consultant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</si>
</sst>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0.0%"/>
    <numFmt numFmtId="167" formatCode="&quot;$&quot;#,##0"/>
    <numFmt numFmtId="168" formatCode="0.000%"/>
    <numFmt numFmtId="169" formatCode="#,##0.0000"/>
    <numFmt numFmtId="170" formatCode="&quot;$&quot;#,##0.00"/>
    <numFmt numFmtId="171" formatCode=";;"/>
    <numFmt numFmtId="172" formatCode="_(&quot;$&quot;* #,##0_);_(&quot;$&quot;* \(#,##0\);_(&quot;$&quot;* &quot;-&quot;??_);_(@_)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00B050"/>
      <name val="Arial"/>
      <family val="2"/>
    </font>
    <font>
      <sz val="8"/>
      <color rgb="FF00B05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theme="4" tint="-0.249977111117893"/>
      <name val="Arial"/>
      <family val="2"/>
    </font>
    <font>
      <b/>
      <sz val="11"/>
      <color rgb="FF0070C0"/>
      <name val="Arial"/>
      <family val="2"/>
    </font>
    <font>
      <b/>
      <sz val="12"/>
      <color rgb="FF0070C0"/>
      <name val="Arial"/>
      <family val="2"/>
    </font>
    <font>
      <b/>
      <sz val="10"/>
      <color rgb="FF0070C0"/>
      <name val="Arial"/>
      <family val="2"/>
    </font>
    <font>
      <sz val="6"/>
      <name val="arial"/>
      <family val="2"/>
    </font>
    <font>
      <sz val="11"/>
      <color rgb="FF00B050"/>
      <name val="Arial"/>
      <family val="2"/>
    </font>
    <font>
      <b/>
      <sz val="11"/>
      <color rgb="FF0070C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8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6"/>
      <name val="Arial"/>
      <family val="2"/>
    </font>
    <font>
      <b/>
      <sz val="6"/>
      <color theme="0" tint="-0.249977111117893"/>
      <name val="Arial"/>
      <family val="2"/>
    </font>
    <font>
      <b/>
      <sz val="6"/>
      <color theme="0" tint="-0.34998626667073579"/>
      <name val="Arial"/>
      <family val="2"/>
    </font>
    <font>
      <b/>
      <sz val="6"/>
      <color theme="0" tint="-0.499984740745262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8" tint="0.7999816888943144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sz val="9"/>
      <color indexed="10"/>
      <name val="Tahoma"/>
      <family val="2"/>
    </font>
    <font>
      <b/>
      <i/>
      <u/>
      <sz val="9"/>
      <color indexed="10"/>
      <name val="Tahoma"/>
      <family val="2"/>
    </font>
    <font>
      <b/>
      <u/>
      <sz val="10"/>
      <color theme="10"/>
      <name val="Calibri"/>
      <family val="2"/>
      <scheme val="minor"/>
    </font>
    <font>
      <b/>
      <i/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E59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0" fontId="20" fillId="0" borderId="0"/>
    <xf numFmtId="43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1">
    <xf numFmtId="0" fontId="0" fillId="0" borderId="0" xfId="0"/>
    <xf numFmtId="0" fontId="4" fillId="0" borderId="0" xfId="3" applyFont="1"/>
    <xf numFmtId="3" fontId="4" fillId="0" borderId="0" xfId="3" applyNumberFormat="1" applyFont="1"/>
    <xf numFmtId="0" fontId="4" fillId="0" borderId="1" xfId="3" applyFont="1" applyBorder="1"/>
    <xf numFmtId="165" fontId="4" fillId="0" borderId="0" xfId="1" applyNumberFormat="1" applyFont="1" applyBorder="1"/>
    <xf numFmtId="165" fontId="4" fillId="0" borderId="0" xfId="3" applyNumberFormat="1" applyFont="1"/>
    <xf numFmtId="165" fontId="4" fillId="2" borderId="9" xfId="1" applyNumberFormat="1" applyFont="1" applyFill="1" applyBorder="1"/>
    <xf numFmtId="0" fontId="5" fillId="0" borderId="0" xfId="3" applyFont="1"/>
    <xf numFmtId="3" fontId="4" fillId="0" borderId="19" xfId="3" applyNumberFormat="1" applyFont="1" applyBorder="1"/>
    <xf numFmtId="0" fontId="4" fillId="0" borderId="0" xfId="3" applyFont="1" applyAlignment="1">
      <alignment horizontal="right"/>
    </xf>
    <xf numFmtId="0" fontId="4" fillId="0" borderId="15" xfId="3" applyFont="1" applyBorder="1"/>
    <xf numFmtId="0" fontId="4" fillId="0" borderId="9" xfId="3" applyFont="1" applyBorder="1"/>
    <xf numFmtId="3" fontId="4" fillId="0" borderId="9" xfId="3" applyNumberFormat="1" applyFont="1" applyBorder="1"/>
    <xf numFmtId="0" fontId="4" fillId="4" borderId="8" xfId="3" applyFont="1" applyFill="1" applyBorder="1"/>
    <xf numFmtId="0" fontId="4" fillId="0" borderId="3" xfId="3" applyFont="1" applyBorder="1"/>
    <xf numFmtId="0" fontId="4" fillId="0" borderId="17" xfId="3" applyFont="1" applyBorder="1"/>
    <xf numFmtId="165" fontId="4" fillId="4" borderId="9" xfId="1" applyNumberFormat="1" applyFont="1" applyFill="1" applyBorder="1"/>
    <xf numFmtId="165" fontId="4" fillId="0" borderId="0" xfId="1" applyNumberFormat="1" applyFont="1"/>
    <xf numFmtId="165" fontId="6" fillId="0" borderId="0" xfId="1" applyNumberFormat="1" applyFont="1" applyBorder="1"/>
    <xf numFmtId="0" fontId="7" fillId="0" borderId="0" xfId="3" applyFont="1" applyAlignment="1">
      <alignment horizontal="right"/>
    </xf>
    <xf numFmtId="0" fontId="10" fillId="0" borderId="4" xfId="3" applyFont="1" applyBorder="1"/>
    <xf numFmtId="0" fontId="10" fillId="0" borderId="0" xfId="3" applyFont="1"/>
    <xf numFmtId="165" fontId="11" fillId="0" borderId="0" xfId="1" applyNumberFormat="1" applyFont="1" applyBorder="1"/>
    <xf numFmtId="0" fontId="12" fillId="0" borderId="0" xfId="0" applyFont="1"/>
    <xf numFmtId="0" fontId="13" fillId="0" borderId="0" xfId="3" applyFont="1" applyAlignment="1">
      <alignment horizontal="right"/>
    </xf>
    <xf numFmtId="0" fontId="13" fillId="0" borderId="0" xfId="3" applyFont="1"/>
    <xf numFmtId="3" fontId="13" fillId="0" borderId="0" xfId="3" applyNumberFormat="1" applyFont="1"/>
    <xf numFmtId="0" fontId="16" fillId="0" borderId="0" xfId="3" applyFont="1" applyAlignment="1">
      <alignment horizontal="right" wrapText="1"/>
    </xf>
    <xf numFmtId="0" fontId="16" fillId="0" borderId="0" xfId="3" applyFont="1" applyAlignment="1">
      <alignment horizontal="right"/>
    </xf>
    <xf numFmtId="165" fontId="16" fillId="0" borderId="0" xfId="3" applyNumberFormat="1" applyFont="1" applyAlignment="1">
      <alignment horizontal="right"/>
    </xf>
    <xf numFmtId="0" fontId="16" fillId="0" borderId="1" xfId="3" applyFont="1" applyBorder="1"/>
    <xf numFmtId="166" fontId="13" fillId="0" borderId="0" xfId="2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3" applyFont="1"/>
    <xf numFmtId="3" fontId="13" fillId="0" borderId="0" xfId="3" applyNumberFormat="1" applyFont="1" applyAlignment="1">
      <alignment horizontal="right"/>
    </xf>
    <xf numFmtId="0" fontId="16" fillId="0" borderId="8" xfId="3" applyFont="1" applyBorder="1"/>
    <xf numFmtId="0" fontId="13" fillId="0" borderId="1" xfId="3" applyFont="1" applyBorder="1"/>
    <xf numFmtId="165" fontId="13" fillId="0" borderId="0" xfId="1" applyNumberFormat="1" applyFont="1"/>
    <xf numFmtId="0" fontId="13" fillId="4" borderId="8" xfId="3" applyFont="1" applyFill="1" applyBorder="1"/>
    <xf numFmtId="165" fontId="13" fillId="4" borderId="9" xfId="1" applyNumberFormat="1" applyFont="1" applyFill="1" applyBorder="1"/>
    <xf numFmtId="0" fontId="17" fillId="0" borderId="0" xfId="3" applyFont="1"/>
    <xf numFmtId="0" fontId="12" fillId="0" borderId="0" xfId="3" applyFont="1" applyAlignment="1">
      <alignment horizontal="right"/>
    </xf>
    <xf numFmtId="0" fontId="15" fillId="0" borderId="0" xfId="0" applyFont="1"/>
    <xf numFmtId="0" fontId="5" fillId="0" borderId="9" xfId="3" applyFont="1" applyBorder="1"/>
    <xf numFmtId="0" fontId="18" fillId="0" borderId="0" xfId="3" applyFont="1"/>
    <xf numFmtId="0" fontId="19" fillId="0" borderId="0" xfId="4" applyFont="1" applyAlignment="1">
      <alignment horizontal="right"/>
    </xf>
    <xf numFmtId="0" fontId="18" fillId="0" borderId="0" xfId="0" applyFont="1"/>
    <xf numFmtId="0" fontId="19" fillId="0" borderId="0" xfId="0" applyFont="1"/>
    <xf numFmtId="0" fontId="18" fillId="0" borderId="0" xfId="3" applyFont="1" applyAlignment="1">
      <alignment horizontal="right"/>
    </xf>
    <xf numFmtId="0" fontId="4" fillId="5" borderId="0" xfId="3" applyFont="1" applyFill="1"/>
    <xf numFmtId="0" fontId="13" fillId="0" borderId="16" xfId="3" applyFont="1" applyBorder="1" applyAlignment="1">
      <alignment horizontal="right"/>
    </xf>
    <xf numFmtId="0" fontId="13" fillId="0" borderId="17" xfId="3" applyFont="1" applyBorder="1" applyAlignment="1">
      <alignment horizontal="right"/>
    </xf>
    <xf numFmtId="9" fontId="14" fillId="0" borderId="0" xfId="2" applyFont="1" applyBorder="1" applyAlignment="1">
      <alignment horizontal="center"/>
    </xf>
    <xf numFmtId="0" fontId="0" fillId="0" borderId="0" xfId="0" applyAlignment="1">
      <alignment horizontal="right"/>
    </xf>
    <xf numFmtId="1" fontId="14" fillId="6" borderId="0" xfId="2" applyNumberFormat="1" applyFont="1" applyFill="1" applyBorder="1" applyAlignment="1">
      <alignment horizontal="right"/>
    </xf>
    <xf numFmtId="0" fontId="15" fillId="0" borderId="0" xfId="4" applyFont="1" applyAlignment="1">
      <alignment horizontal="right"/>
    </xf>
    <xf numFmtId="14" fontId="4" fillId="0" borderId="0" xfId="3" applyNumberFormat="1" applyFont="1"/>
    <xf numFmtId="0" fontId="12" fillId="0" borderId="0" xfId="0" applyFont="1" applyAlignment="1">
      <alignment horizontal="left"/>
    </xf>
    <xf numFmtId="0" fontId="21" fillId="0" borderId="0" xfId="4" applyFont="1" applyAlignment="1">
      <alignment horizontal="right"/>
    </xf>
    <xf numFmtId="0" fontId="22" fillId="0" borderId="0" xfId="4" applyFont="1" applyAlignment="1">
      <alignment horizontal="right"/>
    </xf>
    <xf numFmtId="0" fontId="12" fillId="0" borderId="17" xfId="3" applyFont="1" applyBorder="1"/>
    <xf numFmtId="0" fontId="13" fillId="0" borderId="10" xfId="3" applyFont="1" applyBorder="1"/>
    <xf numFmtId="165" fontId="14" fillId="0" borderId="0" xfId="3" applyNumberFormat="1" applyFont="1" applyAlignment="1">
      <alignment horizontal="right"/>
    </xf>
    <xf numFmtId="0" fontId="14" fillId="0" borderId="0" xfId="3" applyFont="1"/>
    <xf numFmtId="3" fontId="5" fillId="0" borderId="0" xfId="3" applyNumberFormat="1" applyFont="1"/>
    <xf numFmtId="0" fontId="5" fillId="0" borderId="0" xfId="3" applyFont="1" applyAlignment="1">
      <alignment horizontal="right"/>
    </xf>
    <xf numFmtId="166" fontId="14" fillId="0" borderId="0" xfId="2" applyNumberFormat="1" applyFont="1" applyBorder="1" applyAlignment="1">
      <alignment horizontal="center"/>
    </xf>
    <xf numFmtId="0" fontId="3" fillId="0" borderId="0" xfId="3" applyFont="1" applyAlignment="1">
      <alignment horizontal="left"/>
    </xf>
    <xf numFmtId="0" fontId="5" fillId="0" borderId="1" xfId="3" applyFont="1" applyBorder="1"/>
    <xf numFmtId="0" fontId="4" fillId="0" borderId="18" xfId="3" applyFont="1" applyBorder="1" applyAlignment="1">
      <alignment horizontal="right"/>
    </xf>
    <xf numFmtId="164" fontId="4" fillId="0" borderId="0" xfId="3" applyNumberFormat="1" applyFont="1" applyAlignment="1">
      <alignment horizontal="right"/>
    </xf>
    <xf numFmtId="0" fontId="5" fillId="0" borderId="4" xfId="3" applyFont="1" applyBorder="1"/>
    <xf numFmtId="164" fontId="4" fillId="0" borderId="5" xfId="3" applyNumberFormat="1" applyFont="1" applyBorder="1" applyAlignment="1">
      <alignment horizontal="right"/>
    </xf>
    <xf numFmtId="0" fontId="4" fillId="0" borderId="20" xfId="3" applyFont="1" applyBorder="1" applyAlignment="1">
      <alignment horizontal="right"/>
    </xf>
    <xf numFmtId="0" fontId="5" fillId="0" borderId="6" xfId="3" applyFont="1" applyBorder="1"/>
    <xf numFmtId="0" fontId="5" fillId="0" borderId="7" xfId="3" applyFont="1" applyBorder="1"/>
    <xf numFmtId="0" fontId="4" fillId="2" borderId="8" xfId="3" applyFont="1" applyFill="1" applyBorder="1"/>
    <xf numFmtId="0" fontId="5" fillId="0" borderId="10" xfId="3" applyFont="1" applyBorder="1"/>
    <xf numFmtId="165" fontId="4" fillId="0" borderId="0" xfId="1" applyNumberFormat="1" applyFont="1" applyAlignment="1">
      <alignment horizontal="right"/>
    </xf>
    <xf numFmtId="0" fontId="5" fillId="0" borderId="11" xfId="3" applyFont="1" applyBorder="1"/>
    <xf numFmtId="165" fontId="4" fillId="0" borderId="12" xfId="1" applyNumberFormat="1" applyFont="1" applyBorder="1"/>
    <xf numFmtId="165" fontId="4" fillId="0" borderId="13" xfId="1" applyNumberFormat="1" applyFont="1" applyBorder="1"/>
    <xf numFmtId="0" fontId="23" fillId="0" borderId="11" xfId="3" applyFont="1" applyBorder="1"/>
    <xf numFmtId="165" fontId="4" fillId="0" borderId="19" xfId="1" applyNumberFormat="1" applyFont="1" applyBorder="1"/>
    <xf numFmtId="165" fontId="6" fillId="0" borderId="0" xfId="1" applyNumberFormat="1" applyFont="1"/>
    <xf numFmtId="0" fontId="4" fillId="0" borderId="19" xfId="3" applyFont="1" applyBorder="1" applyAlignment="1">
      <alignment horizontal="right"/>
    </xf>
    <xf numFmtId="165" fontId="4" fillId="2" borderId="21" xfId="1" applyNumberFormat="1" applyFont="1" applyFill="1" applyBorder="1"/>
    <xf numFmtId="165" fontId="11" fillId="0" borderId="14" xfId="1" applyNumberFormat="1" applyFont="1" applyBorder="1"/>
    <xf numFmtId="164" fontId="4" fillId="0" borderId="20" xfId="3" applyNumberFormat="1" applyFont="1" applyBorder="1" applyAlignment="1">
      <alignment horizontal="right"/>
    </xf>
    <xf numFmtId="3" fontId="13" fillId="0" borderId="0" xfId="3" applyNumberFormat="1" applyFont="1" applyAlignment="1">
      <alignment horizontal="center"/>
    </xf>
    <xf numFmtId="0" fontId="24" fillId="0" borderId="4" xfId="3" applyFont="1" applyBorder="1"/>
    <xf numFmtId="0" fontId="24" fillId="0" borderId="11" xfId="3" applyFont="1" applyBorder="1"/>
    <xf numFmtId="165" fontId="11" fillId="0" borderId="13" xfId="1" applyNumberFormat="1" applyFont="1" applyBorder="1"/>
    <xf numFmtId="165" fontId="24" fillId="0" borderId="13" xfId="1" applyNumberFormat="1" applyFont="1" applyBorder="1"/>
    <xf numFmtId="165" fontId="4" fillId="0" borderId="14" xfId="1" applyNumberFormat="1" applyFont="1" applyBorder="1"/>
    <xf numFmtId="165" fontId="24" fillId="0" borderId="14" xfId="1" applyNumberFormat="1" applyFont="1" applyBorder="1"/>
    <xf numFmtId="165" fontId="4" fillId="0" borderId="9" xfId="1" applyNumberFormat="1" applyFont="1" applyBorder="1"/>
    <xf numFmtId="165" fontId="4" fillId="0" borderId="21" xfId="1" applyNumberFormat="1" applyFont="1" applyBorder="1"/>
    <xf numFmtId="0" fontId="5" fillId="0" borderId="8" xfId="3" applyFont="1" applyBorder="1"/>
    <xf numFmtId="0" fontId="23" fillId="0" borderId="4" xfId="3" applyFont="1" applyBorder="1"/>
    <xf numFmtId="0" fontId="5" fillId="7" borderId="11" xfId="3" applyFont="1" applyFill="1" applyBorder="1"/>
    <xf numFmtId="165" fontId="13" fillId="0" borderId="0" xfId="3" applyNumberFormat="1" applyFont="1"/>
    <xf numFmtId="0" fontId="9" fillId="0" borderId="0" xfId="3" applyFont="1" applyAlignment="1">
      <alignment horizontal="right"/>
    </xf>
    <xf numFmtId="0" fontId="12" fillId="0" borderId="0" xfId="0" applyFont="1" applyAlignment="1">
      <alignment horizontal="right"/>
    </xf>
    <xf numFmtId="0" fontId="25" fillId="0" borderId="0" xfId="4" applyFont="1" applyAlignment="1">
      <alignment horizontal="right"/>
    </xf>
    <xf numFmtId="0" fontId="26" fillId="0" borderId="0" xfId="0" applyFont="1"/>
    <xf numFmtId="0" fontId="27" fillId="0" borderId="0" xfId="0" applyFont="1" applyAlignment="1">
      <alignment horizontal="right"/>
    </xf>
    <xf numFmtId="38" fontId="4" fillId="0" borderId="0" xfId="3" applyNumberFormat="1" applyFont="1"/>
    <xf numFmtId="3" fontId="28" fillId="0" borderId="0" xfId="3" applyNumberFormat="1" applyFont="1" applyAlignment="1">
      <alignment horizontal="right"/>
    </xf>
    <xf numFmtId="165" fontId="13" fillId="0" borderId="0" xfId="3" applyNumberFormat="1" applyFont="1" applyAlignment="1">
      <alignment horizontal="right"/>
    </xf>
    <xf numFmtId="165" fontId="12" fillId="3" borderId="0" xfId="1" applyNumberFormat="1" applyFont="1" applyFill="1" applyBorder="1" applyAlignment="1">
      <alignment horizontal="right"/>
    </xf>
    <xf numFmtId="0" fontId="14" fillId="0" borderId="0" xfId="0" applyFont="1" applyAlignment="1">
      <alignment horizontal="left"/>
    </xf>
    <xf numFmtId="0" fontId="22" fillId="9" borderId="0" xfId="4" applyFont="1" applyFill="1" applyAlignment="1">
      <alignment horizontal="right"/>
    </xf>
    <xf numFmtId="0" fontId="15" fillId="0" borderId="5" xfId="4" applyFont="1" applyBorder="1" applyAlignment="1">
      <alignment horizontal="right"/>
    </xf>
    <xf numFmtId="0" fontId="16" fillId="0" borderId="5" xfId="3" applyFont="1" applyBorder="1" applyAlignment="1">
      <alignment horizontal="left"/>
    </xf>
    <xf numFmtId="0" fontId="13" fillId="0" borderId="7" xfId="3" applyFont="1" applyBorder="1"/>
    <xf numFmtId="0" fontId="0" fillId="0" borderId="0" xfId="0" quotePrefix="1"/>
    <xf numFmtId="14" fontId="0" fillId="0" borderId="0" xfId="0" applyNumberFormat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3" xfId="0" applyBorder="1"/>
    <xf numFmtId="165" fontId="12" fillId="0" borderId="0" xfId="1" applyNumberFormat="1" applyFont="1" applyFill="1"/>
    <xf numFmtId="0" fontId="0" fillId="0" borderId="1" xfId="0" applyBorder="1"/>
    <xf numFmtId="164" fontId="13" fillId="0" borderId="0" xfId="3" applyNumberFormat="1" applyFont="1" applyAlignment="1">
      <alignment horizontal="right"/>
    </xf>
    <xf numFmtId="0" fontId="18" fillId="0" borderId="0" xfId="4" applyFont="1" applyAlignment="1">
      <alignment horizontal="right"/>
    </xf>
    <xf numFmtId="165" fontId="23" fillId="0" borderId="9" xfId="1" applyNumberFormat="1" applyFont="1" applyBorder="1"/>
    <xf numFmtId="165" fontId="23" fillId="0" borderId="21" xfId="1" applyNumberFormat="1" applyFont="1" applyBorder="1"/>
    <xf numFmtId="165" fontId="23" fillId="0" borderId="14" xfId="1" applyNumberFormat="1" applyFont="1" applyBorder="1"/>
    <xf numFmtId="165" fontId="23" fillId="0" borderId="13" xfId="1" applyNumberFormat="1" applyFont="1" applyBorder="1"/>
    <xf numFmtId="165" fontId="5" fillId="7" borderId="12" xfId="1" applyNumberFormat="1" applyFont="1" applyFill="1" applyBorder="1"/>
    <xf numFmtId="165" fontId="5" fillId="7" borderId="13" xfId="1" applyNumberFormat="1" applyFont="1" applyFill="1" applyBorder="1"/>
    <xf numFmtId="0" fontId="5" fillId="8" borderId="8" xfId="3" applyFont="1" applyFill="1" applyBorder="1"/>
    <xf numFmtId="165" fontId="4" fillId="8" borderId="14" xfId="3" applyNumberFormat="1" applyFont="1" applyFill="1" applyBorder="1"/>
    <xf numFmtId="165" fontId="4" fillId="8" borderId="13" xfId="1" applyNumberFormat="1" applyFont="1" applyFill="1" applyBorder="1"/>
    <xf numFmtId="0" fontId="12" fillId="18" borderId="0" xfId="0" applyFont="1" applyFill="1"/>
    <xf numFmtId="0" fontId="12" fillId="11" borderId="0" xfId="0" applyFont="1" applyFill="1"/>
    <xf numFmtId="0" fontId="12" fillId="14" borderId="0" xfId="0" applyFont="1" applyFill="1"/>
    <xf numFmtId="0" fontId="12" fillId="13" borderId="0" xfId="0" applyFont="1" applyFill="1"/>
    <xf numFmtId="0" fontId="12" fillId="16" borderId="0" xfId="0" applyFont="1" applyFill="1"/>
    <xf numFmtId="0" fontId="12" fillId="17" borderId="0" xfId="0" applyFont="1" applyFill="1"/>
    <xf numFmtId="0" fontId="30" fillId="18" borderId="0" xfId="0" applyFont="1" applyFill="1"/>
    <xf numFmtId="0" fontId="16" fillId="18" borderId="0" xfId="3" applyFont="1" applyFill="1"/>
    <xf numFmtId="0" fontId="13" fillId="18" borderId="0" xfId="3" applyFont="1" applyFill="1"/>
    <xf numFmtId="0" fontId="31" fillId="18" borderId="0" xfId="3" applyFont="1" applyFill="1"/>
    <xf numFmtId="0" fontId="0" fillId="18" borderId="0" xfId="0" applyFill="1"/>
    <xf numFmtId="0" fontId="14" fillId="18" borderId="0" xfId="3" applyFont="1" applyFill="1"/>
    <xf numFmtId="0" fontId="30" fillId="13" borderId="0" xfId="0" applyFont="1" applyFill="1"/>
    <xf numFmtId="0" fontId="16" fillId="13" borderId="0" xfId="3" applyFont="1" applyFill="1"/>
    <xf numFmtId="0" fontId="13" fillId="13" borderId="0" xfId="3" applyFont="1" applyFill="1"/>
    <xf numFmtId="0" fontId="31" fillId="13" borderId="0" xfId="3" applyFont="1" applyFill="1"/>
    <xf numFmtId="0" fontId="0" fillId="13" borderId="0" xfId="0" applyFill="1"/>
    <xf numFmtId="0" fontId="14" fillId="13" borderId="0" xfId="3" applyFont="1" applyFill="1"/>
    <xf numFmtId="168" fontId="12" fillId="13" borderId="0" xfId="2" applyNumberFormat="1" applyFont="1" applyFill="1" applyBorder="1" applyAlignment="1">
      <alignment horizontal="left"/>
    </xf>
    <xf numFmtId="0" fontId="9" fillId="13" borderId="0" xfId="3" applyFont="1" applyFill="1" applyAlignment="1">
      <alignment horizontal="right"/>
    </xf>
    <xf numFmtId="0" fontId="12" fillId="13" borderId="0" xfId="0" applyFont="1" applyFill="1" applyAlignment="1">
      <alignment horizontal="right"/>
    </xf>
    <xf numFmtId="3" fontId="13" fillId="13" borderId="0" xfId="3" applyNumberFormat="1" applyFont="1" applyFill="1" applyAlignment="1">
      <alignment horizontal="center"/>
    </xf>
    <xf numFmtId="3" fontId="13" fillId="13" borderId="0" xfId="3" applyNumberFormat="1" applyFont="1" applyFill="1"/>
    <xf numFmtId="9" fontId="14" fillId="13" borderId="0" xfId="2" applyFont="1" applyFill="1" applyBorder="1" applyAlignment="1">
      <alignment horizontal="center"/>
    </xf>
    <xf numFmtId="0" fontId="0" fillId="18" borderId="0" xfId="0" applyFill="1" applyAlignment="1">
      <alignment horizontal="right"/>
    </xf>
    <xf numFmtId="0" fontId="13" fillId="18" borderId="0" xfId="3" applyFont="1" applyFill="1" applyAlignment="1">
      <alignment horizontal="right"/>
    </xf>
    <xf numFmtId="0" fontId="9" fillId="18" borderId="0" xfId="3" applyFont="1" applyFill="1" applyAlignment="1">
      <alignment horizontal="right"/>
    </xf>
    <xf numFmtId="0" fontId="12" fillId="18" borderId="0" xfId="0" applyFont="1" applyFill="1" applyAlignment="1">
      <alignment horizontal="right"/>
    </xf>
    <xf numFmtId="3" fontId="13" fillId="18" borderId="0" xfId="3" applyNumberFormat="1" applyFont="1" applyFill="1" applyAlignment="1">
      <alignment horizontal="center"/>
    </xf>
    <xf numFmtId="3" fontId="13" fillId="18" borderId="0" xfId="3" applyNumberFormat="1" applyFont="1" applyFill="1"/>
    <xf numFmtId="9" fontId="14" fillId="18" borderId="0" xfId="2" applyFont="1" applyFill="1" applyBorder="1" applyAlignment="1">
      <alignment horizontal="center"/>
    </xf>
    <xf numFmtId="0" fontId="0" fillId="17" borderId="0" xfId="0" applyFill="1"/>
    <xf numFmtId="0" fontId="9" fillId="17" borderId="0" xfId="3" applyFont="1" applyFill="1" applyAlignment="1">
      <alignment horizontal="right"/>
    </xf>
    <xf numFmtId="168" fontId="12" fillId="17" borderId="0" xfId="2" applyNumberFormat="1" applyFont="1" applyFill="1" applyBorder="1" applyAlignment="1">
      <alignment horizontal="left"/>
    </xf>
    <xf numFmtId="0" fontId="12" fillId="17" borderId="0" xfId="0" applyFont="1" applyFill="1" applyAlignment="1">
      <alignment horizontal="right"/>
    </xf>
    <xf numFmtId="0" fontId="13" fillId="17" borderId="0" xfId="3" applyFont="1" applyFill="1"/>
    <xf numFmtId="0" fontId="30" fillId="14" borderId="0" xfId="0" applyFont="1" applyFill="1"/>
    <xf numFmtId="0" fontId="16" fillId="14" borderId="0" xfId="3" applyFont="1" applyFill="1"/>
    <xf numFmtId="0" fontId="13" fillId="14" borderId="0" xfId="3" applyFont="1" applyFill="1"/>
    <xf numFmtId="0" fontId="31" fillId="14" borderId="0" xfId="3" applyFont="1" applyFill="1"/>
    <xf numFmtId="0" fontId="0" fillId="14" borderId="0" xfId="0" applyFill="1"/>
    <xf numFmtId="0" fontId="14" fillId="14" borderId="0" xfId="3" applyFont="1" applyFill="1"/>
    <xf numFmtId="0" fontId="30" fillId="17" borderId="0" xfId="0" applyFont="1" applyFill="1"/>
    <xf numFmtId="0" fontId="16" fillId="17" borderId="0" xfId="3" applyFont="1" applyFill="1"/>
    <xf numFmtId="0" fontId="31" fillId="17" borderId="0" xfId="3" applyFont="1" applyFill="1"/>
    <xf numFmtId="0" fontId="14" fillId="17" borderId="0" xfId="3" applyFont="1" applyFill="1"/>
    <xf numFmtId="3" fontId="13" fillId="17" borderId="0" xfId="3" applyNumberFormat="1" applyFont="1" applyFill="1" applyAlignment="1">
      <alignment horizontal="center"/>
    </xf>
    <xf numFmtId="3" fontId="13" fillId="17" borderId="0" xfId="3" applyNumberFormat="1" applyFont="1" applyFill="1"/>
    <xf numFmtId="9" fontId="14" fillId="17" borderId="0" xfId="2" applyFont="1" applyFill="1" applyBorder="1" applyAlignment="1">
      <alignment horizontal="center"/>
    </xf>
    <xf numFmtId="168" fontId="12" fillId="14" borderId="0" xfId="2" applyNumberFormat="1" applyFont="1" applyFill="1" applyBorder="1" applyAlignment="1">
      <alignment horizontal="left"/>
    </xf>
    <xf numFmtId="0" fontId="9" fillId="14" borderId="0" xfId="3" applyFont="1" applyFill="1" applyAlignment="1">
      <alignment horizontal="right"/>
    </xf>
    <xf numFmtId="0" fontId="12" fillId="14" borderId="0" xfId="0" applyFont="1" applyFill="1" applyAlignment="1">
      <alignment horizontal="right"/>
    </xf>
    <xf numFmtId="3" fontId="13" fillId="14" borderId="0" xfId="3" applyNumberFormat="1" applyFont="1" applyFill="1" applyAlignment="1">
      <alignment horizontal="center"/>
    </xf>
    <xf numFmtId="3" fontId="13" fillId="14" borderId="0" xfId="3" applyNumberFormat="1" applyFont="1" applyFill="1"/>
    <xf numFmtId="9" fontId="14" fillId="14" borderId="0" xfId="2" applyFont="1" applyFill="1" applyBorder="1" applyAlignment="1">
      <alignment horizontal="center"/>
    </xf>
    <xf numFmtId="0" fontId="15" fillId="13" borderId="0" xfId="0" applyFont="1" applyFill="1"/>
    <xf numFmtId="0" fontId="15" fillId="14" borderId="0" xfId="0" applyFont="1" applyFill="1"/>
    <xf numFmtId="164" fontId="14" fillId="0" borderId="0" xfId="3" applyNumberFormat="1" applyFont="1" applyAlignment="1">
      <alignment horizontal="left"/>
    </xf>
    <xf numFmtId="168" fontId="14" fillId="0" borderId="0" xfId="2" applyNumberFormat="1" applyFont="1" applyFill="1" applyBorder="1" applyAlignment="1">
      <alignment horizontal="left"/>
    </xf>
    <xf numFmtId="0" fontId="15" fillId="18" borderId="0" xfId="0" applyFont="1" applyFill="1"/>
    <xf numFmtId="0" fontId="15" fillId="17" borderId="0" xfId="0" applyFont="1" applyFill="1"/>
    <xf numFmtId="0" fontId="15" fillId="16" borderId="0" xfId="0" applyFont="1" applyFill="1"/>
    <xf numFmtId="0" fontId="0" fillId="16" borderId="0" xfId="0" applyFill="1"/>
    <xf numFmtId="168" fontId="12" fillId="16" borderId="0" xfId="2" applyNumberFormat="1" applyFont="1" applyFill="1" applyBorder="1" applyAlignment="1">
      <alignment horizontal="left"/>
    </xf>
    <xf numFmtId="0" fontId="9" fillId="16" borderId="0" xfId="3" applyFont="1" applyFill="1" applyAlignment="1">
      <alignment horizontal="right"/>
    </xf>
    <xf numFmtId="0" fontId="12" fillId="16" borderId="0" xfId="0" applyFont="1" applyFill="1" applyAlignment="1">
      <alignment horizontal="right"/>
    </xf>
    <xf numFmtId="0" fontId="30" fillId="16" borderId="0" xfId="0" applyFont="1" applyFill="1"/>
    <xf numFmtId="0" fontId="16" fillId="16" borderId="0" xfId="3" applyFont="1" applyFill="1"/>
    <xf numFmtId="0" fontId="13" fillId="16" borderId="0" xfId="3" applyFont="1" applyFill="1"/>
    <xf numFmtId="0" fontId="31" fillId="16" borderId="0" xfId="3" applyFont="1" applyFill="1"/>
    <xf numFmtId="0" fontId="14" fillId="16" borderId="0" xfId="3" applyFont="1" applyFill="1"/>
    <xf numFmtId="3" fontId="13" fillId="16" borderId="0" xfId="3" applyNumberFormat="1" applyFont="1" applyFill="1" applyAlignment="1">
      <alignment horizontal="center"/>
    </xf>
    <xf numFmtId="3" fontId="13" fillId="16" borderId="0" xfId="3" applyNumberFormat="1" applyFont="1" applyFill="1"/>
    <xf numFmtId="9" fontId="14" fillId="16" borderId="0" xfId="2" applyFont="1" applyFill="1" applyBorder="1" applyAlignment="1">
      <alignment horizontal="center"/>
    </xf>
    <xf numFmtId="0" fontId="12" fillId="18" borderId="0" xfId="0" applyFont="1" applyFill="1" applyAlignment="1">
      <alignment horizontal="left"/>
    </xf>
    <xf numFmtId="0" fontId="12" fillId="13" borderId="0" xfId="0" applyFont="1" applyFill="1" applyAlignment="1">
      <alignment horizontal="left"/>
    </xf>
    <xf numFmtId="0" fontId="12" fillId="14" borderId="0" xfId="0" applyFont="1" applyFill="1" applyAlignment="1">
      <alignment horizontal="left"/>
    </xf>
    <xf numFmtId="0" fontId="12" fillId="16" borderId="0" xfId="0" applyFont="1" applyFill="1" applyAlignment="1">
      <alignment horizontal="left"/>
    </xf>
    <xf numFmtId="0" fontId="12" fillId="17" borderId="0" xfId="0" applyFont="1" applyFill="1" applyAlignment="1">
      <alignment horizontal="left"/>
    </xf>
    <xf numFmtId="0" fontId="15" fillId="11" borderId="0" xfId="0" applyFont="1" applyFill="1"/>
    <xf numFmtId="0" fontId="0" fillId="11" borderId="0" xfId="0" applyFill="1"/>
    <xf numFmtId="0" fontId="12" fillId="11" borderId="0" xfId="0" applyFont="1" applyFill="1" applyAlignment="1">
      <alignment horizontal="left"/>
    </xf>
    <xf numFmtId="168" fontId="12" fillId="11" borderId="0" xfId="2" applyNumberFormat="1" applyFont="1" applyFill="1" applyBorder="1" applyAlignment="1">
      <alignment horizontal="left"/>
    </xf>
    <xf numFmtId="0" fontId="9" fillId="11" borderId="0" xfId="3" applyFont="1" applyFill="1" applyAlignment="1">
      <alignment horizontal="right"/>
    </xf>
    <xf numFmtId="0" fontId="12" fillId="11" borderId="0" xfId="0" applyFont="1" applyFill="1" applyAlignment="1">
      <alignment horizontal="right"/>
    </xf>
    <xf numFmtId="0" fontId="30" fillId="11" borderId="0" xfId="0" applyFont="1" applyFill="1"/>
    <xf numFmtId="0" fontId="16" fillId="11" borderId="0" xfId="3" applyFont="1" applyFill="1"/>
    <xf numFmtId="0" fontId="13" fillId="11" borderId="0" xfId="3" applyFont="1" applyFill="1"/>
    <xf numFmtId="0" fontId="31" fillId="11" borderId="0" xfId="3" applyFont="1" applyFill="1"/>
    <xf numFmtId="0" fontId="14" fillId="11" borderId="0" xfId="3" applyFont="1" applyFill="1"/>
    <xf numFmtId="3" fontId="13" fillId="11" borderId="0" xfId="3" applyNumberFormat="1" applyFont="1" applyFill="1" applyAlignment="1">
      <alignment horizontal="center"/>
    </xf>
    <xf numFmtId="3" fontId="13" fillId="11" borderId="0" xfId="3" applyNumberFormat="1" applyFont="1" applyFill="1"/>
    <xf numFmtId="9" fontId="14" fillId="11" borderId="0" xfId="2" applyFont="1" applyFill="1" applyBorder="1" applyAlignment="1">
      <alignment horizontal="center"/>
    </xf>
    <xf numFmtId="0" fontId="0" fillId="11" borderId="0" xfId="0" quotePrefix="1" applyFill="1"/>
    <xf numFmtId="169" fontId="13" fillId="0" borderId="0" xfId="3" applyNumberFormat="1" applyFont="1" applyAlignment="1">
      <alignment horizontal="center"/>
    </xf>
    <xf numFmtId="0" fontId="13" fillId="4" borderId="0" xfId="3" applyFont="1" applyFill="1"/>
    <xf numFmtId="165" fontId="13" fillId="4" borderId="0" xfId="1" applyNumberFormat="1" applyFont="1" applyFill="1" applyBorder="1"/>
    <xf numFmtId="0" fontId="34" fillId="0" borderId="0" xfId="15" applyFill="1"/>
    <xf numFmtId="0" fontId="21" fillId="0" borderId="0" xfId="0" applyFont="1" applyAlignment="1">
      <alignment horizontal="left"/>
    </xf>
    <xf numFmtId="168" fontId="12" fillId="0" borderId="0" xfId="2" applyNumberFormat="1" applyFont="1" applyFill="1" applyBorder="1" applyAlignment="1">
      <alignment horizontal="left"/>
    </xf>
    <xf numFmtId="0" fontId="14" fillId="0" borderId="0" xfId="0" quotePrefix="1" applyFont="1" applyAlignment="1">
      <alignment horizontal="left"/>
    </xf>
    <xf numFmtId="168" fontId="21" fillId="0" borderId="0" xfId="2" applyNumberFormat="1" applyFont="1" applyFill="1" applyBorder="1" applyAlignment="1">
      <alignment horizontal="left"/>
    </xf>
    <xf numFmtId="0" fontId="21" fillId="0" borderId="0" xfId="0" applyFont="1"/>
    <xf numFmtId="0" fontId="0" fillId="0" borderId="0" xfId="0" quotePrefix="1" applyAlignment="1">
      <alignment horizontal="left"/>
    </xf>
    <xf numFmtId="0" fontId="13" fillId="14" borderId="0" xfId="3" applyFont="1" applyFill="1" applyAlignment="1">
      <alignment horizontal="right"/>
    </xf>
    <xf numFmtId="0" fontId="13" fillId="11" borderId="0" xfId="3" applyFont="1" applyFill="1" applyAlignment="1">
      <alignment horizontal="right"/>
    </xf>
    <xf numFmtId="0" fontId="13" fillId="16" borderId="0" xfId="3" applyFont="1" applyFill="1" applyAlignment="1">
      <alignment horizontal="right"/>
    </xf>
    <xf numFmtId="0" fontId="13" fillId="13" borderId="0" xfId="3" applyFont="1" applyFill="1" applyAlignment="1">
      <alignment horizontal="right"/>
    </xf>
    <xf numFmtId="0" fontId="13" fillId="17" borderId="0" xfId="3" applyFont="1" applyFill="1" applyAlignment="1">
      <alignment horizontal="right"/>
    </xf>
    <xf numFmtId="0" fontId="4" fillId="0" borderId="18" xfId="3" applyFont="1" applyBorder="1" applyAlignment="1">
      <alignment horizontal="center"/>
    </xf>
    <xf numFmtId="164" fontId="4" fillId="0" borderId="0" xfId="3" applyNumberFormat="1" applyFont="1" applyAlignment="1">
      <alignment horizontal="center"/>
    </xf>
    <xf numFmtId="0" fontId="4" fillId="0" borderId="19" xfId="3" applyFont="1" applyBorder="1" applyAlignment="1">
      <alignment horizontal="center"/>
    </xf>
    <xf numFmtId="164" fontId="4" fillId="0" borderId="5" xfId="3" applyNumberFormat="1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39" fillId="0" borderId="0" xfId="16" applyFont="1" applyAlignment="1">
      <alignment wrapText="1"/>
    </xf>
    <xf numFmtId="0" fontId="1" fillId="0" borderId="0" xfId="16" applyAlignment="1">
      <alignment wrapText="1"/>
    </xf>
    <xf numFmtId="0" fontId="1" fillId="0" borderId="0" xfId="16"/>
    <xf numFmtId="0" fontId="1" fillId="0" borderId="0" xfId="16" applyAlignment="1">
      <alignment horizontal="center"/>
    </xf>
    <xf numFmtId="0" fontId="1" fillId="12" borderId="0" xfId="16" applyFill="1" applyAlignment="1">
      <alignment wrapText="1"/>
    </xf>
    <xf numFmtId="0" fontId="1" fillId="12" borderId="0" xfId="16" applyFill="1"/>
    <xf numFmtId="0" fontId="1" fillId="12" borderId="0" xfId="16" applyFill="1" applyAlignment="1">
      <alignment horizontal="center"/>
    </xf>
    <xf numFmtId="0" fontId="0" fillId="0" borderId="23" xfId="16" applyFont="1" applyBorder="1" applyAlignment="1">
      <alignment wrapText="1"/>
    </xf>
    <xf numFmtId="0" fontId="0" fillId="0" borderId="23" xfId="16" applyFont="1" applyBorder="1"/>
    <xf numFmtId="0" fontId="1" fillId="6" borderId="23" xfId="16" applyFill="1" applyBorder="1" applyAlignment="1">
      <alignment horizontal="center"/>
    </xf>
    <xf numFmtId="167" fontId="0" fillId="0" borderId="23" xfId="17" applyNumberFormat="1" applyFont="1" applyBorder="1" applyAlignment="1">
      <alignment horizontal="center"/>
    </xf>
    <xf numFmtId="0" fontId="0" fillId="6" borderId="23" xfId="17" applyNumberFormat="1" applyFont="1" applyFill="1" applyBorder="1" applyAlignment="1">
      <alignment horizontal="center"/>
    </xf>
    <xf numFmtId="167" fontId="0" fillId="15" borderId="23" xfId="17" applyNumberFormat="1" applyFont="1" applyFill="1" applyBorder="1" applyAlignment="1">
      <alignment horizontal="center"/>
    </xf>
    <xf numFmtId="0" fontId="1" fillId="6" borderId="20" xfId="16" applyFill="1" applyBorder="1" applyAlignment="1">
      <alignment horizontal="center"/>
    </xf>
    <xf numFmtId="167" fontId="1" fillId="0" borderId="24" xfId="16" applyNumberFormat="1" applyBorder="1" applyAlignment="1">
      <alignment horizontal="center"/>
    </xf>
    <xf numFmtId="0" fontId="5" fillId="0" borderId="20" xfId="3" applyFont="1" applyBorder="1" applyAlignment="1">
      <alignment horizontal="center"/>
    </xf>
    <xf numFmtId="0" fontId="5" fillId="0" borderId="18" xfId="3" applyFont="1" applyBorder="1" applyAlignment="1">
      <alignment horizontal="center"/>
    </xf>
    <xf numFmtId="164" fontId="4" fillId="0" borderId="20" xfId="3" applyNumberFormat="1" applyFont="1" applyBorder="1" applyAlignment="1">
      <alignment horizontal="center"/>
    </xf>
    <xf numFmtId="167" fontId="1" fillId="15" borderId="23" xfId="16" applyNumberFormat="1" applyFill="1" applyBorder="1" applyAlignment="1">
      <alignment horizontal="center"/>
    </xf>
    <xf numFmtId="0" fontId="8" fillId="12" borderId="23" xfId="16" applyFont="1" applyFill="1" applyBorder="1" applyAlignment="1">
      <alignment horizontal="center" wrapText="1"/>
    </xf>
    <xf numFmtId="0" fontId="8" fillId="12" borderId="5" xfId="16" applyFont="1" applyFill="1" applyBorder="1" applyAlignment="1">
      <alignment horizontal="center" wrapText="1"/>
    </xf>
    <xf numFmtId="0" fontId="1" fillId="0" borderId="0" xfId="4"/>
    <xf numFmtId="0" fontId="1" fillId="0" borderId="0" xfId="4" applyAlignment="1">
      <alignment horizontal="center"/>
    </xf>
    <xf numFmtId="42" fontId="1" fillId="0" borderId="0" xfId="4" applyNumberFormat="1"/>
    <xf numFmtId="42" fontId="41" fillId="0" borderId="25" xfId="4" applyNumberFormat="1" applyFont="1" applyBorder="1"/>
    <xf numFmtId="42" fontId="41" fillId="0" borderId="26" xfId="4" applyNumberFormat="1" applyFont="1" applyBorder="1"/>
    <xf numFmtId="0" fontId="42" fillId="0" borderId="27" xfId="4" applyFont="1" applyBorder="1"/>
    <xf numFmtId="0" fontId="20" fillId="0" borderId="0" xfId="4" applyFont="1"/>
    <xf numFmtId="42" fontId="42" fillId="0" borderId="28" xfId="4" applyNumberFormat="1" applyFont="1" applyBorder="1"/>
    <xf numFmtId="42" fontId="42" fillId="0" borderId="29" xfId="4" applyNumberFormat="1" applyFont="1" applyBorder="1"/>
    <xf numFmtId="0" fontId="42" fillId="0" borderId="30" xfId="4" applyFont="1" applyBorder="1"/>
    <xf numFmtId="0" fontId="43" fillId="0" borderId="0" xfId="4" applyFont="1"/>
    <xf numFmtId="0" fontId="43" fillId="0" borderId="0" xfId="4" applyFont="1" applyAlignment="1">
      <alignment horizontal="center"/>
    </xf>
    <xf numFmtId="42" fontId="43" fillId="0" borderId="0" xfId="4" applyNumberFormat="1" applyFont="1"/>
    <xf numFmtId="170" fontId="40" fillId="0" borderId="0" xfId="4" applyNumberFormat="1" applyFont="1"/>
    <xf numFmtId="170" fontId="1" fillId="0" borderId="0" xfId="4" applyNumberFormat="1"/>
    <xf numFmtId="0" fontId="41" fillId="0" borderId="31" xfId="4" applyFont="1" applyBorder="1" applyAlignment="1">
      <alignment horizontal="center"/>
    </xf>
    <xf numFmtId="0" fontId="41" fillId="0" borderId="32" xfId="4" applyFont="1" applyBorder="1" applyAlignment="1">
      <alignment horizontal="center"/>
    </xf>
    <xf numFmtId="0" fontId="42" fillId="0" borderId="33" xfId="4" applyFont="1" applyBorder="1"/>
    <xf numFmtId="0" fontId="8" fillId="0" borderId="0" xfId="4" applyFont="1"/>
    <xf numFmtId="0" fontId="8" fillId="0" borderId="0" xfId="4" applyFont="1" applyAlignment="1">
      <alignment horizontal="center"/>
    </xf>
    <xf numFmtId="42" fontId="8" fillId="0" borderId="0" xfId="4" applyNumberFormat="1" applyFont="1"/>
    <xf numFmtId="170" fontId="8" fillId="0" borderId="0" xfId="4" applyNumberFormat="1" applyFont="1"/>
    <xf numFmtId="0" fontId="44" fillId="0" borderId="0" xfId="4" applyFont="1" applyAlignment="1">
      <alignment horizontal="center"/>
    </xf>
    <xf numFmtId="42" fontId="20" fillId="0" borderId="0" xfId="4" applyNumberFormat="1" applyFont="1"/>
    <xf numFmtId="42" fontId="43" fillId="0" borderId="23" xfId="4" applyNumberFormat="1" applyFont="1" applyBorder="1"/>
    <xf numFmtId="0" fontId="43" fillId="0" borderId="29" xfId="4" applyFont="1" applyBorder="1" applyAlignment="1">
      <alignment horizontal="center"/>
    </xf>
    <xf numFmtId="42" fontId="43" fillId="0" borderId="29" xfId="4" applyNumberFormat="1" applyFont="1" applyBorder="1"/>
    <xf numFmtId="0" fontId="43" fillId="0" borderId="29" xfId="4" applyFont="1" applyBorder="1"/>
    <xf numFmtId="42" fontId="45" fillId="0" borderId="0" xfId="4" applyNumberFormat="1" applyFont="1"/>
    <xf numFmtId="0" fontId="20" fillId="0" borderId="0" xfId="4" applyFont="1" applyAlignment="1">
      <alignment horizontal="left"/>
    </xf>
    <xf numFmtId="42" fontId="46" fillId="0" borderId="0" xfId="4" applyNumberFormat="1" applyFont="1"/>
    <xf numFmtId="0" fontId="46" fillId="0" borderId="0" xfId="4" applyFont="1"/>
    <xf numFmtId="0" fontId="43" fillId="0" borderId="29" xfId="4" applyFont="1" applyBorder="1" applyAlignment="1">
      <alignment wrapText="1"/>
    </xf>
    <xf numFmtId="0" fontId="43" fillId="0" borderId="23" xfId="4" applyFont="1" applyBorder="1" applyAlignment="1">
      <alignment horizontal="center"/>
    </xf>
    <xf numFmtId="0" fontId="43" fillId="0" borderId="23" xfId="4" applyFont="1" applyBorder="1"/>
    <xf numFmtId="0" fontId="46" fillId="0" borderId="26" xfId="4" applyFont="1" applyBorder="1" applyAlignment="1">
      <alignment horizontal="center"/>
    </xf>
    <xf numFmtId="0" fontId="46" fillId="0" borderId="26" xfId="4" applyFont="1" applyBorder="1"/>
    <xf numFmtId="0" fontId="46" fillId="0" borderId="0" xfId="4" applyFont="1" applyAlignment="1">
      <alignment horizontal="center"/>
    </xf>
    <xf numFmtId="0" fontId="14" fillId="0" borderId="0" xfId="0" applyFont="1" applyAlignment="1" applyProtection="1">
      <alignment horizontal="left"/>
      <protection locked="0"/>
    </xf>
    <xf numFmtId="0" fontId="14" fillId="18" borderId="0" xfId="0" applyFont="1" applyFill="1" applyAlignment="1" applyProtection="1">
      <alignment horizontal="left"/>
      <protection locked="0"/>
    </xf>
    <xf numFmtId="0" fontId="14" fillId="18" borderId="0" xfId="0" applyFont="1" applyFill="1" applyProtection="1">
      <protection locked="0"/>
    </xf>
    <xf numFmtId="0" fontId="0" fillId="18" borderId="0" xfId="0" applyFill="1" applyProtection="1">
      <protection locked="0"/>
    </xf>
    <xf numFmtId="3" fontId="14" fillId="0" borderId="0" xfId="3" applyNumberFormat="1" applyFont="1" applyAlignment="1" applyProtection="1">
      <alignment horizontal="center"/>
      <protection locked="0"/>
    </xf>
    <xf numFmtId="9" fontId="14" fillId="0" borderId="0" xfId="2" applyFont="1" applyBorder="1" applyAlignment="1" applyProtection="1">
      <alignment horizontal="center"/>
      <protection locked="0"/>
    </xf>
    <xf numFmtId="2" fontId="14" fillId="0" borderId="0" xfId="2" applyNumberFormat="1" applyFont="1" applyBorder="1" applyAlignment="1" applyProtection="1">
      <alignment horizontal="right"/>
      <protection locked="0"/>
    </xf>
    <xf numFmtId="165" fontId="14" fillId="0" borderId="0" xfId="3" applyNumberFormat="1" applyFont="1" applyAlignment="1" applyProtection="1">
      <alignment horizontal="right"/>
      <protection locked="0"/>
    </xf>
    <xf numFmtId="0" fontId="14" fillId="10" borderId="0" xfId="3" applyFont="1" applyFill="1" applyProtection="1">
      <protection locked="0"/>
    </xf>
    <xf numFmtId="0" fontId="14" fillId="0" borderId="0" xfId="3" applyFont="1" applyProtection="1">
      <protection locked="0"/>
    </xf>
    <xf numFmtId="1" fontId="14" fillId="0" borderId="0" xfId="2" applyNumberFormat="1" applyFont="1" applyBorder="1" applyAlignment="1" applyProtection="1">
      <alignment horizontal="right"/>
      <protection locked="0"/>
    </xf>
    <xf numFmtId="3" fontId="12" fillId="0" borderId="0" xfId="3" applyNumberFormat="1" applyFont="1" applyAlignment="1" applyProtection="1">
      <alignment horizontal="center"/>
      <protection locked="0"/>
    </xf>
    <xf numFmtId="166" fontId="14" fillId="0" borderId="0" xfId="2" applyNumberFormat="1" applyFont="1" applyBorder="1" applyAlignment="1" applyProtection="1">
      <alignment horizontal="center"/>
      <protection locked="0"/>
    </xf>
    <xf numFmtId="0" fontId="16" fillId="18" borderId="0" xfId="3" applyFont="1" applyFill="1" applyProtection="1">
      <protection locked="0"/>
    </xf>
    <xf numFmtId="0" fontId="14" fillId="13" borderId="0" xfId="0" applyFont="1" applyFill="1" applyAlignment="1" applyProtection="1">
      <alignment horizontal="left"/>
      <protection locked="0"/>
    </xf>
    <xf numFmtId="0" fontId="14" fillId="13" borderId="0" xfId="0" applyFont="1" applyFill="1" applyProtection="1">
      <protection locked="0"/>
    </xf>
    <xf numFmtId="0" fontId="29" fillId="13" borderId="0" xfId="0" applyFont="1" applyFill="1" applyProtection="1">
      <protection locked="0"/>
    </xf>
    <xf numFmtId="0" fontId="16" fillId="13" borderId="0" xfId="3" applyFont="1" applyFill="1" applyProtection="1">
      <protection locked="0"/>
    </xf>
    <xf numFmtId="0" fontId="14" fillId="14" borderId="0" xfId="0" applyFont="1" applyFill="1" applyAlignment="1" applyProtection="1">
      <alignment horizontal="left"/>
      <protection locked="0"/>
    </xf>
    <xf numFmtId="0" fontId="14" fillId="14" borderId="0" xfId="0" applyFont="1" applyFill="1" applyProtection="1">
      <protection locked="0"/>
    </xf>
    <xf numFmtId="0" fontId="29" fillId="14" borderId="0" xfId="0" applyFont="1" applyFill="1" applyProtection="1">
      <protection locked="0"/>
    </xf>
    <xf numFmtId="0" fontId="16" fillId="14" borderId="0" xfId="3" applyFont="1" applyFill="1" applyProtection="1">
      <protection locked="0"/>
    </xf>
    <xf numFmtId="0" fontId="14" fillId="16" borderId="0" xfId="0" applyFont="1" applyFill="1" applyAlignment="1" applyProtection="1">
      <alignment horizontal="left"/>
      <protection locked="0"/>
    </xf>
    <xf numFmtId="0" fontId="14" fillId="16" borderId="0" xfId="0" applyFont="1" applyFill="1" applyProtection="1">
      <protection locked="0"/>
    </xf>
    <xf numFmtId="0" fontId="29" fillId="16" borderId="0" xfId="0" applyFont="1" applyFill="1" applyProtection="1">
      <protection locked="0"/>
    </xf>
    <xf numFmtId="0" fontId="14" fillId="17" borderId="0" xfId="0" applyFont="1" applyFill="1" applyAlignment="1" applyProtection="1">
      <alignment horizontal="left"/>
      <protection locked="0"/>
    </xf>
    <xf numFmtId="0" fontId="14" fillId="17" borderId="0" xfId="0" applyFont="1" applyFill="1" applyProtection="1">
      <protection locked="0"/>
    </xf>
    <xf numFmtId="0" fontId="29" fillId="17" borderId="0" xfId="0" applyFont="1" applyFill="1" applyProtection="1">
      <protection locked="0"/>
    </xf>
    <xf numFmtId="0" fontId="16" fillId="17" borderId="0" xfId="3" applyFont="1" applyFill="1" applyProtection="1">
      <protection locked="0"/>
    </xf>
    <xf numFmtId="0" fontId="14" fillId="11" borderId="0" xfId="0" applyFont="1" applyFill="1" applyAlignment="1" applyProtection="1">
      <alignment horizontal="left"/>
      <protection locked="0"/>
    </xf>
    <xf numFmtId="0" fontId="14" fillId="11" borderId="0" xfId="0" applyFont="1" applyFill="1" applyProtection="1">
      <protection locked="0"/>
    </xf>
    <xf numFmtId="0" fontId="29" fillId="11" borderId="0" xfId="0" applyFont="1" applyFill="1" applyProtection="1">
      <protection locked="0"/>
    </xf>
    <xf numFmtId="0" fontId="52" fillId="19" borderId="0" xfId="15" applyFont="1" applyFill="1" applyAlignment="1">
      <alignment vertical="center"/>
    </xf>
    <xf numFmtId="0" fontId="4" fillId="0" borderId="0" xfId="3" applyFont="1" applyProtection="1">
      <protection locked="0"/>
    </xf>
    <xf numFmtId="14" fontId="4" fillId="0" borderId="0" xfId="3" applyNumberFormat="1" applyFont="1" applyProtection="1">
      <protection locked="0"/>
    </xf>
    <xf numFmtId="3" fontId="4" fillId="0" borderId="0" xfId="3" applyNumberFormat="1" applyFont="1" applyProtection="1">
      <protection locked="0"/>
    </xf>
    <xf numFmtId="165" fontId="4" fillId="0" borderId="0" xfId="1" applyNumberFormat="1" applyFont="1" applyProtection="1">
      <protection locked="0"/>
    </xf>
    <xf numFmtId="165" fontId="4" fillId="0" borderId="0" xfId="3" applyNumberFormat="1" applyFont="1" applyProtection="1">
      <protection locked="0"/>
    </xf>
    <xf numFmtId="3" fontId="5" fillId="0" borderId="0" xfId="3" applyNumberFormat="1" applyFont="1" applyProtection="1">
      <protection locked="0"/>
    </xf>
    <xf numFmtId="0" fontId="5" fillId="0" borderId="0" xfId="3" applyFont="1" applyAlignment="1" applyProtection="1">
      <alignment horizontal="right"/>
      <protection locked="0"/>
    </xf>
    <xf numFmtId="0" fontId="18" fillId="0" borderId="0" xfId="3" applyFont="1" applyProtection="1">
      <protection locked="0"/>
    </xf>
    <xf numFmtId="0" fontId="19" fillId="0" borderId="0" xfId="4" applyFont="1" applyAlignment="1" applyProtection="1">
      <alignment horizontal="right"/>
      <protection locked="0"/>
    </xf>
    <xf numFmtId="169" fontId="4" fillId="0" borderId="0" xfId="3" quotePrefix="1" applyNumberFormat="1" applyFont="1" applyProtection="1">
      <protection locked="0"/>
    </xf>
    <xf numFmtId="0" fontId="5" fillId="0" borderId="0" xfId="3" applyFont="1" applyProtection="1">
      <protection locked="0"/>
    </xf>
    <xf numFmtId="165" fontId="4" fillId="0" borderId="0" xfId="1" applyNumberFormat="1" applyFont="1" applyBorder="1" applyProtection="1">
      <protection locked="0"/>
    </xf>
    <xf numFmtId="0" fontId="10" fillId="0" borderId="0" xfId="3" applyFont="1" applyProtection="1">
      <protection locked="0"/>
    </xf>
    <xf numFmtId="165" fontId="11" fillId="0" borderId="0" xfId="1" applyNumberFormat="1" applyFont="1" applyBorder="1" applyProtection="1">
      <protection locked="0"/>
    </xf>
    <xf numFmtId="3" fontId="4" fillId="0" borderId="0" xfId="3" quotePrefix="1" applyNumberFormat="1" applyFont="1" applyProtection="1">
      <protection locked="0"/>
    </xf>
    <xf numFmtId="4" fontId="6" fillId="0" borderId="0" xfId="3" quotePrefix="1" applyNumberFormat="1" applyFont="1" applyProtection="1">
      <protection locked="0"/>
    </xf>
    <xf numFmtId="0" fontId="4" fillId="0" borderId="0" xfId="3" quotePrefix="1" applyFont="1" applyProtection="1">
      <protection locked="0"/>
    </xf>
    <xf numFmtId="0" fontId="18" fillId="0" borderId="0" xfId="0" applyFont="1" applyProtection="1">
      <protection locked="0"/>
    </xf>
    <xf numFmtId="165" fontId="4" fillId="0" borderId="0" xfId="1" applyNumberFormat="1" applyFont="1" applyProtection="1"/>
    <xf numFmtId="165" fontId="4" fillId="0" borderId="19" xfId="1" applyNumberFormat="1" applyFont="1" applyBorder="1" applyProtection="1"/>
    <xf numFmtId="165" fontId="4" fillId="2" borderId="9" xfId="1" applyNumberFormat="1" applyFont="1" applyFill="1" applyBorder="1" applyProtection="1"/>
    <xf numFmtId="165" fontId="4" fillId="2" borderId="21" xfId="1" applyNumberFormat="1" applyFont="1" applyFill="1" applyBorder="1" applyProtection="1"/>
    <xf numFmtId="0" fontId="4" fillId="13" borderId="4" xfId="3" applyFont="1" applyFill="1" applyBorder="1"/>
    <xf numFmtId="165" fontId="4" fillId="13" borderId="14" xfId="1" applyNumberFormat="1" applyFont="1" applyFill="1" applyBorder="1" applyProtection="1"/>
    <xf numFmtId="165" fontId="4" fillId="13" borderId="13" xfId="1" applyNumberFormat="1" applyFont="1" applyFill="1" applyBorder="1" applyProtection="1"/>
    <xf numFmtId="165" fontId="4" fillId="8" borderId="13" xfId="3" applyNumberFormat="1" applyFont="1" applyFill="1" applyBorder="1"/>
    <xf numFmtId="0" fontId="23" fillId="0" borderId="8" xfId="3" applyFont="1" applyBorder="1"/>
    <xf numFmtId="165" fontId="33" fillId="0" borderId="21" xfId="1" applyNumberFormat="1" applyFont="1" applyBorder="1" applyProtection="1"/>
    <xf numFmtId="165" fontId="33" fillId="0" borderId="9" xfId="1" applyNumberFormat="1" applyFont="1" applyBorder="1" applyProtection="1"/>
    <xf numFmtId="165" fontId="33" fillId="0" borderId="14" xfId="1" applyNumberFormat="1" applyFont="1" applyBorder="1" applyProtection="1"/>
    <xf numFmtId="165" fontId="4" fillId="0" borderId="9" xfId="1" applyNumberFormat="1" applyFont="1" applyBorder="1" applyProtection="1"/>
    <xf numFmtId="165" fontId="4" fillId="0" borderId="21" xfId="1" applyNumberFormat="1" applyFont="1" applyBorder="1" applyProtection="1"/>
    <xf numFmtId="165" fontId="33" fillId="0" borderId="13" xfId="1" applyNumberFormat="1" applyFont="1" applyBorder="1" applyProtection="1"/>
    <xf numFmtId="0" fontId="19" fillId="7" borderId="11" xfId="3" applyFont="1" applyFill="1" applyBorder="1"/>
    <xf numFmtId="165" fontId="18" fillId="7" borderId="12" xfId="1" applyNumberFormat="1" applyFont="1" applyFill="1" applyBorder="1" applyProtection="1"/>
    <xf numFmtId="165" fontId="18" fillId="7" borderId="22" xfId="1" applyNumberFormat="1" applyFont="1" applyFill="1" applyBorder="1" applyProtection="1"/>
    <xf numFmtId="165" fontId="11" fillId="0" borderId="14" xfId="1" applyNumberFormat="1" applyFont="1" applyBorder="1" applyProtection="1"/>
    <xf numFmtId="165" fontId="24" fillId="0" borderId="13" xfId="1" applyNumberFormat="1" applyFont="1" applyBorder="1" applyProtection="1"/>
    <xf numFmtId="165" fontId="24" fillId="0" borderId="14" xfId="1" applyNumberFormat="1" applyFont="1" applyBorder="1" applyProtection="1"/>
    <xf numFmtId="165" fontId="4" fillId="0" borderId="0" xfId="1" applyNumberFormat="1" applyFont="1" applyBorder="1" applyProtection="1"/>
    <xf numFmtId="165" fontId="4" fillId="4" borderId="9" xfId="1" applyNumberFormat="1" applyFont="1" applyFill="1" applyBorder="1" applyProtection="1"/>
    <xf numFmtId="165" fontId="4" fillId="0" borderId="0" xfId="1" applyNumberFormat="1" applyFont="1" applyAlignment="1" applyProtection="1">
      <alignment horizontal="left"/>
    </xf>
    <xf numFmtId="0" fontId="4" fillId="0" borderId="0" xfId="3" applyFont="1" applyAlignment="1">
      <alignment horizontal="left"/>
    </xf>
    <xf numFmtId="3" fontId="4" fillId="0" borderId="35" xfId="3" applyNumberFormat="1" applyFont="1" applyBorder="1" applyProtection="1">
      <protection locked="0"/>
    </xf>
    <xf numFmtId="171" fontId="14" fillId="0" borderId="0" xfId="3" applyNumberFormat="1" applyFont="1" applyAlignment="1" applyProtection="1">
      <alignment horizontal="right"/>
      <protection hidden="1"/>
    </xf>
    <xf numFmtId="171" fontId="13" fillId="0" borderId="0" xfId="3" applyNumberFormat="1" applyFont="1" applyAlignment="1" applyProtection="1">
      <alignment horizontal="right"/>
      <protection hidden="1"/>
    </xf>
    <xf numFmtId="3" fontId="4" fillId="0" borderId="34" xfId="3" applyNumberFormat="1" applyFont="1" applyBorder="1"/>
    <xf numFmtId="3" fontId="4" fillId="0" borderId="35" xfId="3" applyNumberFormat="1" applyFont="1" applyBorder="1"/>
    <xf numFmtId="3" fontId="5" fillId="0" borderId="37" xfId="3" applyNumberFormat="1" applyFont="1" applyBorder="1" applyAlignment="1">
      <alignment horizontal="center"/>
    </xf>
    <xf numFmtId="165" fontId="4" fillId="0" borderId="0" xfId="1" applyNumberFormat="1" applyFont="1" applyAlignment="1" applyProtection="1">
      <alignment horizontal="right"/>
      <protection locked="0"/>
    </xf>
    <xf numFmtId="165" fontId="4" fillId="0" borderId="14" xfId="1" applyNumberFormat="1" applyFont="1" applyBorder="1" applyProtection="1">
      <protection locked="0"/>
    </xf>
    <xf numFmtId="10" fontId="13" fillId="0" borderId="0" xfId="2" applyNumberFormat="1" applyFont="1" applyBorder="1"/>
    <xf numFmtId="10" fontId="13" fillId="12" borderId="0" xfId="2" applyNumberFormat="1" applyFont="1" applyFill="1" applyBorder="1"/>
    <xf numFmtId="10" fontId="12" fillId="18" borderId="0" xfId="2" applyNumberFormat="1" applyFont="1" applyFill="1"/>
    <xf numFmtId="10" fontId="12" fillId="0" borderId="0" xfId="2" applyNumberFormat="1" applyFont="1" applyBorder="1" applyAlignment="1">
      <alignment horizontal="right"/>
    </xf>
    <xf numFmtId="10" fontId="32" fillId="0" borderId="0" xfId="2" applyNumberFormat="1" applyFont="1" applyBorder="1" applyAlignment="1">
      <alignment horizontal="right"/>
    </xf>
    <xf numFmtId="10" fontId="12" fillId="13" borderId="0" xfId="2" applyNumberFormat="1" applyFont="1" applyFill="1"/>
    <xf numFmtId="10" fontId="12" fillId="14" borderId="0" xfId="2" applyNumberFormat="1" applyFont="1" applyFill="1"/>
    <xf numFmtId="10" fontId="12" fillId="16" borderId="0" xfId="2" applyNumberFormat="1" applyFont="1" applyFill="1"/>
    <xf numFmtId="10" fontId="12" fillId="17" borderId="0" xfId="2" applyNumberFormat="1" applyFont="1" applyFill="1"/>
    <xf numFmtId="10" fontId="12" fillId="11" borderId="0" xfId="2" applyNumberFormat="1" applyFont="1" applyFill="1"/>
    <xf numFmtId="2" fontId="14" fillId="0" borderId="0" xfId="2" applyNumberFormat="1" applyFont="1" applyFill="1" applyBorder="1" applyAlignment="1" applyProtection="1">
      <alignment horizontal="right"/>
      <protection locked="0"/>
    </xf>
    <xf numFmtId="10" fontId="12" fillId="0" borderId="0" xfId="2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" fontId="14" fillId="0" borderId="0" xfId="2" applyNumberFormat="1" applyFont="1" applyFill="1" applyBorder="1" applyAlignment="1" applyProtection="1">
      <alignment horizontal="right"/>
      <protection locked="0"/>
    </xf>
    <xf numFmtId="1" fontId="14" fillId="0" borderId="0" xfId="2" applyNumberFormat="1" applyFont="1" applyFill="1" applyBorder="1" applyAlignment="1">
      <alignment horizontal="right"/>
    </xf>
    <xf numFmtId="3" fontId="7" fillId="0" borderId="36" xfId="3" applyNumberFormat="1" applyFont="1" applyBorder="1" applyAlignment="1">
      <alignment horizontal="right"/>
    </xf>
    <xf numFmtId="165" fontId="0" fillId="0" borderId="0" xfId="0" applyNumberFormat="1"/>
    <xf numFmtId="164" fontId="4" fillId="0" borderId="0" xfId="3" applyNumberFormat="1" applyFont="1"/>
    <xf numFmtId="165" fontId="24" fillId="0" borderId="38" xfId="1" applyNumberFormat="1" applyFont="1" applyBorder="1" applyProtection="1"/>
    <xf numFmtId="165" fontId="4" fillId="0" borderId="0" xfId="1" applyNumberFormat="1" applyFont="1" applyFill="1" applyBorder="1" applyProtection="1">
      <protection locked="0"/>
    </xf>
    <xf numFmtId="165" fontId="11" fillId="0" borderId="38" xfId="1" applyNumberFormat="1" applyFont="1" applyBorder="1" applyProtection="1"/>
    <xf numFmtId="0" fontId="7" fillId="0" borderId="0" xfId="3" applyFont="1" applyProtection="1">
      <protection locked="0"/>
    </xf>
    <xf numFmtId="0" fontId="24" fillId="0" borderId="0" xfId="3" applyFont="1"/>
    <xf numFmtId="165" fontId="24" fillId="0" borderId="0" xfId="1" applyNumberFormat="1" applyFont="1" applyFill="1" applyBorder="1" applyProtection="1"/>
    <xf numFmtId="165" fontId="7" fillId="0" borderId="0" xfId="1" applyNumberFormat="1" applyFont="1" applyFill="1" applyBorder="1" applyProtection="1">
      <protection locked="0"/>
    </xf>
    <xf numFmtId="9" fontId="13" fillId="0" borderId="0" xfId="2" applyFont="1" applyBorder="1"/>
    <xf numFmtId="43" fontId="0" fillId="0" borderId="0" xfId="0" applyNumberFormat="1"/>
    <xf numFmtId="0" fontId="54" fillId="0" borderId="1" xfId="3" applyFont="1" applyBorder="1"/>
    <xf numFmtId="172" fontId="13" fillId="0" borderId="0" xfId="18" applyNumberFormat="1" applyFont="1" applyBorder="1"/>
    <xf numFmtId="172" fontId="13" fillId="0" borderId="0" xfId="18" applyNumberFormat="1" applyFont="1" applyFill="1" applyBorder="1"/>
    <xf numFmtId="0" fontId="34" fillId="0" borderId="0" xfId="15"/>
    <xf numFmtId="0" fontId="55" fillId="0" borderId="0" xfId="0" applyFont="1" applyAlignment="1">
      <alignment horizontal="right"/>
    </xf>
    <xf numFmtId="0" fontId="3" fillId="0" borderId="8" xfId="3" applyFont="1" applyBorder="1"/>
    <xf numFmtId="0" fontId="54" fillId="0" borderId="0" xfId="3" applyFont="1"/>
    <xf numFmtId="0" fontId="56" fillId="0" borderId="0" xfId="0" applyFont="1"/>
    <xf numFmtId="0" fontId="57" fillId="0" borderId="0" xfId="0" applyFont="1"/>
    <xf numFmtId="0" fontId="56" fillId="0" borderId="23" xfId="0" quotePrefix="1" applyFont="1" applyBorder="1"/>
    <xf numFmtId="172" fontId="12" fillId="0" borderId="0" xfId="18" applyNumberFormat="1" applyFont="1"/>
    <xf numFmtId="44" fontId="12" fillId="0" borderId="0" xfId="18" applyFont="1"/>
    <xf numFmtId="0" fontId="0" fillId="9" borderId="0" xfId="0" applyFill="1"/>
    <xf numFmtId="9" fontId="13" fillId="0" borderId="0" xfId="2" applyFont="1"/>
    <xf numFmtId="9" fontId="0" fillId="0" borderId="0" xfId="2" applyFont="1"/>
    <xf numFmtId="10" fontId="13" fillId="0" borderId="0" xfId="2" applyNumberFormat="1" applyFont="1"/>
    <xf numFmtId="10" fontId="12" fillId="0" borderId="0" xfId="2" applyNumberFormat="1" applyFont="1"/>
    <xf numFmtId="0" fontId="9" fillId="0" borderId="0" xfId="3" applyFont="1"/>
    <xf numFmtId="0" fontId="9" fillId="12" borderId="0" xfId="3" applyFont="1" applyFill="1"/>
    <xf numFmtId="0" fontId="58" fillId="0" borderId="0" xfId="15" applyFont="1" applyAlignment="1">
      <alignment horizontal="right"/>
    </xf>
    <xf numFmtId="0" fontId="57" fillId="0" borderId="0" xfId="0" applyFont="1" applyAlignment="1">
      <alignment horizontal="right"/>
    </xf>
    <xf numFmtId="0" fontId="58" fillId="0" borderId="0" xfId="15" applyFont="1" applyBorder="1" applyAlignment="1">
      <alignment horizontal="right"/>
    </xf>
    <xf numFmtId="167" fontId="13" fillId="0" borderId="0" xfId="3" applyNumberFormat="1" applyFont="1" applyAlignment="1" applyProtection="1">
      <alignment horizontal="right"/>
      <protection hidden="1"/>
    </xf>
    <xf numFmtId="165" fontId="13" fillId="0" borderId="0" xfId="3" applyNumberFormat="1" applyFont="1" applyAlignment="1" applyProtection="1">
      <alignment horizontal="right"/>
      <protection hidden="1"/>
    </xf>
    <xf numFmtId="167" fontId="14" fillId="0" borderId="0" xfId="3" applyNumberFormat="1" applyFont="1" applyAlignment="1" applyProtection="1">
      <alignment horizontal="right"/>
      <protection locked="0"/>
    </xf>
    <xf numFmtId="172" fontId="14" fillId="0" borderId="0" xfId="18" applyNumberFormat="1" applyFont="1" applyAlignment="1" applyProtection="1">
      <alignment horizontal="right"/>
      <protection locked="0"/>
    </xf>
    <xf numFmtId="172" fontId="13" fillId="0" borderId="0" xfId="18" applyNumberFormat="1" applyFont="1" applyAlignment="1" applyProtection="1">
      <alignment horizontal="right"/>
      <protection hidden="1"/>
    </xf>
    <xf numFmtId="167" fontId="14" fillId="0" borderId="0" xfId="18" applyNumberFormat="1" applyFont="1" applyAlignment="1" applyProtection="1">
      <alignment horizontal="right"/>
      <protection locked="0"/>
    </xf>
    <xf numFmtId="167" fontId="13" fillId="0" borderId="0" xfId="18" applyNumberFormat="1" applyFont="1" applyAlignment="1" applyProtection="1">
      <alignment horizontal="right"/>
      <protection hidden="1"/>
    </xf>
    <xf numFmtId="37" fontId="14" fillId="0" borderId="0" xfId="3" applyNumberFormat="1" applyFont="1" applyAlignment="1" applyProtection="1">
      <alignment horizontal="right"/>
      <protection locked="0"/>
    </xf>
    <xf numFmtId="0" fontId="15" fillId="0" borderId="0" xfId="0" applyFont="1" applyAlignment="1">
      <alignment horizontal="right"/>
    </xf>
    <xf numFmtId="0" fontId="8" fillId="4" borderId="16" xfId="16" applyFont="1" applyFill="1" applyBorder="1" applyAlignment="1">
      <alignment horizontal="center" wrapText="1"/>
    </xf>
    <xf numFmtId="0" fontId="8" fillId="4" borderId="17" xfId="16" applyFont="1" applyFill="1" applyBorder="1" applyAlignment="1">
      <alignment horizontal="center" wrapText="1"/>
    </xf>
    <xf numFmtId="0" fontId="8" fillId="4" borderId="7" xfId="16" applyFont="1" applyFill="1" applyBorder="1" applyAlignment="1">
      <alignment horizontal="center" wrapText="1"/>
    </xf>
  </cellXfs>
  <cellStyles count="19">
    <cellStyle name="Comma" xfId="1" builtinId="3"/>
    <cellStyle name="Comma 2" xfId="5" xr:uid="{00000000-0005-0000-0000-000001000000}"/>
    <cellStyle name="Comma 2 2" xfId="11" xr:uid="{00000000-0005-0000-0000-000002000000}"/>
    <cellStyle name="Comma 3" xfId="9" xr:uid="{00000000-0005-0000-0000-000003000000}"/>
    <cellStyle name="Comma 4" xfId="14" xr:uid="{00000000-0005-0000-0000-000004000000}"/>
    <cellStyle name="Currency" xfId="18" builtinId="4"/>
    <cellStyle name="Currency 2 2" xfId="17" xr:uid="{00000000-0005-0000-0000-000005000000}"/>
    <cellStyle name="Hyperlink" xfId="15" builtinId="8"/>
    <cellStyle name="Normal" xfId="0" builtinId="0"/>
    <cellStyle name="Normal 2" xfId="3" xr:uid="{00000000-0005-0000-0000-000008000000}"/>
    <cellStyle name="Normal 2 2" xfId="10" xr:uid="{00000000-0005-0000-0000-000009000000}"/>
    <cellStyle name="Normal 2 2 2" xfId="16" xr:uid="{00000000-0005-0000-0000-00000A000000}"/>
    <cellStyle name="Normal 3" xfId="12" xr:uid="{00000000-0005-0000-0000-00000B000000}"/>
    <cellStyle name="Normal 3 2" xfId="4" xr:uid="{00000000-0005-0000-0000-00000C000000}"/>
    <cellStyle name="Normal 3 3" xfId="6" xr:uid="{00000000-0005-0000-0000-00000D000000}"/>
    <cellStyle name="Normal 3 4" xfId="7" xr:uid="{00000000-0005-0000-0000-00000E000000}"/>
    <cellStyle name="Normal 3 5" xfId="13" xr:uid="{00000000-0005-0000-0000-00000F000000}"/>
    <cellStyle name="Percent" xfId="2" builtinId="5"/>
    <cellStyle name="Percent 2" xfId="8" xr:uid="{00000000-0005-0000-0000-000011000000}"/>
  </cellStyles>
  <dxfs count="6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4E59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4E59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4E59F"/>
        </patternFill>
      </fill>
    </dxf>
    <dxf>
      <fill>
        <patternFill>
          <bgColor theme="0" tint="-0.14996795556505021"/>
        </patternFill>
      </fill>
    </dxf>
    <dxf>
      <fill>
        <patternFill>
          <bgColor rgb="FFC4E59F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iceline.com/?tab=flights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s://www.gsa.gov/travel/plan-book/per-diem-r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400526</xdr:colOff>
      <xdr:row>0</xdr:row>
      <xdr:rowOff>11906</xdr:rowOff>
    </xdr:from>
    <xdr:ext cx="6441281" cy="3609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55745" y="11906"/>
          <a:ext cx="6441281" cy="360996"/>
        </a:xfrm>
        <a:prstGeom prst="rect">
          <a:avLst/>
        </a:prstGeom>
        <a:noFill/>
        <a:ln w="12700">
          <a:solidFill>
            <a:srgbClr val="C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rgbClr val="C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This is a draft provided for planning purposes and does not constitute a binding commitment on behalf of Cornell University.  If a firm offer is desired, Cornell University’s Office of Sponsored Programs will provide a formal proposal upon request.</a:t>
          </a:r>
          <a:endParaRPr lang="en-US" sz="900" i="1">
            <a:solidFill>
              <a:srgbClr val="C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632236</xdr:colOff>
      <xdr:row>15</xdr:row>
      <xdr:rowOff>107717</xdr:rowOff>
    </xdr:from>
    <xdr:ext cx="4220643" cy="150797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9386125">
          <a:off x="632236" y="2364409"/>
          <a:ext cx="4220643" cy="1507977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0" cap="none" spc="0">
              <a:ln w="0"/>
              <a:solidFill>
                <a:srgbClr val="C00000">
                  <a:alpha val="10000"/>
                </a:srgb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DRAFT</a:t>
          </a:r>
          <a:endParaRPr lang="en-US" sz="9600" b="0" cap="none" spc="0" baseline="0">
            <a:ln w="0"/>
            <a:solidFill>
              <a:srgbClr val="C00000">
                <a:alpha val="10000"/>
              </a:srgb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0</xdr:col>
      <xdr:colOff>21980</xdr:colOff>
      <xdr:row>91</xdr:row>
      <xdr:rowOff>124558</xdr:rowOff>
    </xdr:from>
    <xdr:ext cx="5121520" cy="4903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980" y="13642731"/>
          <a:ext cx="5121520" cy="490327"/>
        </a:xfrm>
        <a:prstGeom prst="rect">
          <a:avLst/>
        </a:prstGeom>
        <a:noFill/>
        <a:ln w="12700">
          <a:solidFill>
            <a:srgbClr val="C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rgbClr val="C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This is a draft provided for planning purposes and does not constitute a binding commitment on behalf of Cornell University.  If a firm offer is desired, Cornell University’s Office of Sponsored Programs will provide a formal proposal upon request.</a:t>
          </a:r>
          <a:endParaRPr lang="en-US" sz="900" i="1">
            <a:solidFill>
              <a:srgbClr val="C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549520</xdr:colOff>
      <xdr:row>63</xdr:row>
      <xdr:rowOff>14654</xdr:rowOff>
    </xdr:from>
    <xdr:ext cx="5121520" cy="4903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9520" y="9429750"/>
          <a:ext cx="5121520" cy="490327"/>
        </a:xfrm>
        <a:prstGeom prst="rect">
          <a:avLst/>
        </a:prstGeom>
        <a:noFill/>
        <a:ln w="12700">
          <a:solidFill>
            <a:srgbClr val="C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rgbClr val="C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This is a draft provided for planning purposes and does not constitute a binding commitment on behalf of Cornell University.  If a firm offer is desired, Cornell University’s Office of Sponsored Programs will provide a formal proposal upon request.</a:t>
          </a:r>
          <a:endParaRPr lang="en-US" sz="900" i="1">
            <a:solidFill>
              <a:srgbClr val="C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315058</xdr:colOff>
      <xdr:row>11</xdr:row>
      <xdr:rowOff>21981</xdr:rowOff>
    </xdr:from>
    <xdr:ext cx="2202655" cy="80021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542443" y="1699846"/>
          <a:ext cx="2202655" cy="800219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800" b="0" cap="none" spc="0">
              <a:ln w="0"/>
              <a:solidFill>
                <a:srgbClr val="C00000">
                  <a:alpha val="16000"/>
                </a:srgb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DRAFT</a:t>
          </a:r>
          <a:endParaRPr lang="en-US" sz="4800" b="0" cap="none" spc="0" baseline="0">
            <a:ln w="0"/>
            <a:solidFill>
              <a:srgbClr val="C00000">
                <a:alpha val="16000"/>
              </a:srgb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578827</xdr:colOff>
      <xdr:row>63</xdr:row>
      <xdr:rowOff>29308</xdr:rowOff>
    </xdr:from>
    <xdr:ext cx="5121520" cy="4903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78827" y="9444404"/>
          <a:ext cx="5121520" cy="490327"/>
        </a:xfrm>
        <a:prstGeom prst="rect">
          <a:avLst/>
        </a:prstGeom>
        <a:noFill/>
        <a:ln w="12700">
          <a:solidFill>
            <a:srgbClr val="C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rgbClr val="C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This is a draft provided for planning purposes and does not constitute a binding commitment on behalf of Cornell University.  If a firm offer is desired, Cornell University’s Office of Sponsored Programs will provide a formal proposal upon request.</a:t>
          </a:r>
          <a:endParaRPr lang="en-US" sz="900" i="1">
            <a:solidFill>
              <a:srgbClr val="C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381000</xdr:colOff>
      <xdr:row>11</xdr:row>
      <xdr:rowOff>21982</xdr:rowOff>
    </xdr:from>
    <xdr:ext cx="2202655" cy="80021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08385" y="1699847"/>
          <a:ext cx="2202655" cy="800219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800" b="0" cap="none" spc="0">
              <a:ln w="0"/>
              <a:solidFill>
                <a:srgbClr val="C00000">
                  <a:alpha val="16000"/>
                </a:srgb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DRAFT</a:t>
          </a:r>
          <a:endParaRPr lang="en-US" sz="4800" b="0" cap="none" spc="0" baseline="0">
            <a:ln w="0"/>
            <a:solidFill>
              <a:srgbClr val="C00000">
                <a:alpha val="16000"/>
              </a:srgb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65</xdr:row>
      <xdr:rowOff>0</xdr:rowOff>
    </xdr:from>
    <xdr:ext cx="5121520" cy="4903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9708173"/>
          <a:ext cx="5121520" cy="490327"/>
        </a:xfrm>
        <a:prstGeom prst="rect">
          <a:avLst/>
        </a:prstGeom>
        <a:noFill/>
        <a:ln w="12700">
          <a:solidFill>
            <a:srgbClr val="C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rgbClr val="C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This is a draft provided for planning purposes and does not constitute a binding commitment on behalf of Cornell University.  If a firm offer is desired, Cornell University’s Office of Sponsored Programs will provide a formal proposal upon request.</a:t>
          </a:r>
          <a:endParaRPr lang="en-US" sz="900" i="1">
            <a:solidFill>
              <a:srgbClr val="C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351692</xdr:colOff>
      <xdr:row>15</xdr:row>
      <xdr:rowOff>0</xdr:rowOff>
    </xdr:from>
    <xdr:ext cx="2202655" cy="80021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79077" y="2264019"/>
          <a:ext cx="2202655" cy="800219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800" b="0" cap="none" spc="0">
              <a:ln w="0"/>
              <a:solidFill>
                <a:srgbClr val="C00000">
                  <a:alpha val="16000"/>
                </a:srgb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DRAFT</a:t>
          </a:r>
          <a:endParaRPr lang="en-US" sz="4800" b="0" cap="none" spc="0" baseline="0">
            <a:ln w="0"/>
            <a:solidFill>
              <a:srgbClr val="C00000">
                <a:alpha val="16000"/>
              </a:srgb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65</xdr:row>
      <xdr:rowOff>0</xdr:rowOff>
    </xdr:from>
    <xdr:ext cx="5121520" cy="4903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9708173"/>
          <a:ext cx="5121520" cy="490327"/>
        </a:xfrm>
        <a:prstGeom prst="rect">
          <a:avLst/>
        </a:prstGeom>
        <a:noFill/>
        <a:ln w="12700">
          <a:solidFill>
            <a:srgbClr val="C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rgbClr val="C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This is a draft provided for planning purposes and does not constitute a binding commitment on behalf of Cornell University.  If a firm offer is desired, Cornell University’s Office of Sponsored Programs will provide a formal proposal upon request.</a:t>
          </a:r>
          <a:endParaRPr lang="en-US" sz="900" i="1">
            <a:solidFill>
              <a:srgbClr val="C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322385</xdr:colOff>
      <xdr:row>11</xdr:row>
      <xdr:rowOff>87923</xdr:rowOff>
    </xdr:from>
    <xdr:ext cx="2202655" cy="80021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549770" y="1765788"/>
          <a:ext cx="2202655" cy="800219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800" b="0" cap="none" spc="0">
              <a:ln w="0"/>
              <a:solidFill>
                <a:srgbClr val="C00000">
                  <a:alpha val="16000"/>
                </a:srgb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DRAFT</a:t>
          </a:r>
          <a:endParaRPr lang="en-US" sz="4800" b="0" cap="none" spc="0" baseline="0">
            <a:ln w="0"/>
            <a:solidFill>
              <a:srgbClr val="C00000">
                <a:alpha val="16000"/>
              </a:srgb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65</xdr:row>
      <xdr:rowOff>0</xdr:rowOff>
    </xdr:from>
    <xdr:ext cx="5121520" cy="4903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9708173"/>
          <a:ext cx="5121520" cy="490327"/>
        </a:xfrm>
        <a:prstGeom prst="rect">
          <a:avLst/>
        </a:prstGeom>
        <a:noFill/>
        <a:ln w="12700">
          <a:solidFill>
            <a:srgbClr val="C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rgbClr val="C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This is a draft provided for planning purposes and does not constitute a binding commitment on behalf of Cornell University.  If a firm offer is desired, Cornell University’s Office of Sponsored Programs will provide a formal proposal upon request.</a:t>
          </a:r>
          <a:endParaRPr lang="en-US" sz="900" i="1">
            <a:solidFill>
              <a:srgbClr val="C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483577</xdr:colOff>
      <xdr:row>11</xdr:row>
      <xdr:rowOff>102578</xdr:rowOff>
    </xdr:from>
    <xdr:ext cx="2202655" cy="80021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710962" y="1780443"/>
          <a:ext cx="2202655" cy="800219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800" b="0" cap="none" spc="0">
              <a:ln w="0"/>
              <a:solidFill>
                <a:srgbClr val="C00000">
                  <a:alpha val="16000"/>
                </a:srgb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DRAFT</a:t>
          </a:r>
          <a:endParaRPr lang="en-US" sz="4800" b="0" cap="none" spc="0" baseline="0">
            <a:ln w="0"/>
            <a:solidFill>
              <a:srgbClr val="C00000">
                <a:alpha val="16000"/>
              </a:srgb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65</xdr:row>
      <xdr:rowOff>0</xdr:rowOff>
    </xdr:from>
    <xdr:ext cx="5121520" cy="4903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9708173"/>
          <a:ext cx="5121520" cy="490327"/>
        </a:xfrm>
        <a:prstGeom prst="rect">
          <a:avLst/>
        </a:prstGeom>
        <a:noFill/>
        <a:ln w="12700">
          <a:solidFill>
            <a:srgbClr val="C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rgbClr val="C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This is a draft provided for planning purposes and does not constitute a binding commitment on behalf of Cornell University.  If a firm offer is desired, Cornell University’s Office of Sponsored Programs will provide a formal proposal upon request.</a:t>
          </a:r>
          <a:endParaRPr lang="en-US" sz="900" i="1">
            <a:solidFill>
              <a:srgbClr val="C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351692</xdr:colOff>
      <xdr:row>11</xdr:row>
      <xdr:rowOff>87923</xdr:rowOff>
    </xdr:from>
    <xdr:ext cx="2202655" cy="80021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579077" y="1765788"/>
          <a:ext cx="2202655" cy="800219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800" b="0" cap="none" spc="0">
              <a:ln w="0"/>
              <a:solidFill>
                <a:srgbClr val="C00000">
                  <a:alpha val="16000"/>
                </a:srgb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DRAFT</a:t>
          </a:r>
          <a:endParaRPr lang="en-US" sz="4800" b="0" cap="none" spc="0" baseline="0">
            <a:ln w="0"/>
            <a:solidFill>
              <a:srgbClr val="C00000">
                <a:alpha val="16000"/>
              </a:srgb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247649</xdr:colOff>
      <xdr:row>0</xdr:row>
      <xdr:rowOff>152400</xdr:rowOff>
    </xdr:from>
    <xdr:ext cx="5343525" cy="264560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9410699" y="152400"/>
          <a:ext cx="5343525" cy="264560"/>
        </a:xfrm>
        <a:prstGeom prst="rect">
          <a:avLst/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GSA Per Diem (domestic):</a:t>
          </a:r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https://www.gsa.gov/travel/plan-book/per-diem-rates</a:t>
          </a:r>
          <a:endParaRPr lang="en-US" sz="1100" u="sng">
            <a:solidFill>
              <a:srgbClr val="0070C0"/>
            </a:solidFill>
          </a:endParaRPr>
        </a:p>
      </xdr:txBody>
    </xdr:sp>
    <xdr:clientData/>
  </xdr:oneCellAnchor>
  <xdr:oneCellAnchor>
    <xdr:from>
      <xdr:col>16</xdr:col>
      <xdr:colOff>247651</xdr:colOff>
      <xdr:row>1</xdr:row>
      <xdr:rowOff>238125</xdr:rowOff>
    </xdr:from>
    <xdr:ext cx="5342332" cy="264560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9410701" y="428625"/>
          <a:ext cx="5342332" cy="264560"/>
        </a:xfrm>
        <a:prstGeom prst="rect">
          <a:avLst/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U.S. Dept of State (foreign per diem): </a:t>
          </a:r>
          <a:r>
            <a:rPr lang="en-US" sz="1100" b="0" i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https://aoprals.state.gov/web920/per_diem.asp</a:t>
          </a:r>
          <a:r>
            <a:rPr 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>
            <a:solidFill>
              <a:srgbClr val="0070C0"/>
            </a:solidFill>
          </a:endParaRPr>
        </a:p>
      </xdr:txBody>
    </xdr:sp>
    <xdr:clientData/>
  </xdr:oneCellAnchor>
  <xdr:oneCellAnchor>
    <xdr:from>
      <xdr:col>16</xdr:col>
      <xdr:colOff>247649</xdr:colOff>
      <xdr:row>2</xdr:row>
      <xdr:rowOff>123825</xdr:rowOff>
    </xdr:from>
    <xdr:ext cx="5343525" cy="264560"/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9410699" y="695325"/>
          <a:ext cx="5343525" cy="264560"/>
        </a:xfrm>
        <a:prstGeom prst="rect">
          <a:avLst/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Priceline.com (airfare</a:t>
          </a:r>
          <a:r>
            <a:rPr lang="en-U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quotes): </a:t>
          </a: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https://www.priceline.com/?tab=flights</a:t>
          </a:r>
          <a:endParaRPr lang="en-US" u="sng">
            <a:solidFill>
              <a:srgbClr val="0070C0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searchservices.cornell.edu/rates/escalation-rates" TargetMode="External"/><Relationship Id="rId13" Type="http://schemas.openxmlformats.org/officeDocument/2006/relationships/hyperlink" Target="https://studenthealthbenefits.cornell.edu/rates-dates/2024-2025-rates-and-dates" TargetMode="External"/><Relationship Id="rId3" Type="http://schemas.openxmlformats.org/officeDocument/2006/relationships/hyperlink" Target="https://studentemployment.cornell.edu/jobs/wages-and-classifications/student-wage-scale" TargetMode="External"/><Relationship Id="rId7" Type="http://schemas.openxmlformats.org/officeDocument/2006/relationships/hyperlink" Target="https://researchservices.cornell.edu/rates/escalation-rates" TargetMode="External"/><Relationship Id="rId12" Type="http://schemas.openxmlformats.org/officeDocument/2006/relationships/hyperlink" Target="https://finance.cornell.edu/capitalassets/cost/facilities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grants.nih.gov/grants/guide/notice-files/NOT-OD-23-076.html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dfa.cornell.edu/sites/default/files/dhhsrateagreement.pdf" TargetMode="External"/><Relationship Id="rId6" Type="http://schemas.openxmlformats.org/officeDocument/2006/relationships/hyperlink" Target="https://researchservices.cornell.edu/rates/escalation-rates" TargetMode="External"/><Relationship Id="rId11" Type="http://schemas.openxmlformats.org/officeDocument/2006/relationships/hyperlink" Target="https://www.ebchcm.com/blog/new-york-state-exempt-salary-threshold" TargetMode="External"/><Relationship Id="rId5" Type="http://schemas.openxmlformats.org/officeDocument/2006/relationships/hyperlink" Target="https://grants.nih.gov/grants/policy/salcap_summary.htm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help.nfc.usda.gov/bulletins/2024/1705079869.htm" TargetMode="External"/><Relationship Id="rId4" Type="http://schemas.openxmlformats.org/officeDocument/2006/relationships/hyperlink" Target="https://health.cornell.edu/get-care/cost-for-service/student-health-fee" TargetMode="External"/><Relationship Id="rId9" Type="http://schemas.openxmlformats.org/officeDocument/2006/relationships/hyperlink" Target="https://www.ny.gov/new-york-states-minimum-wage/new-york-states-minimum-wage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D511"/>
  <sheetViews>
    <sheetView tabSelected="1" zoomScale="80" zoomScaleNormal="80" workbookViewId="0"/>
  </sheetViews>
  <sheetFormatPr defaultRowHeight="15" x14ac:dyDescent="0.25"/>
  <cols>
    <col min="1" max="1" width="43.140625" bestFit="1" customWidth="1"/>
    <col min="2" max="2" width="13.7109375" customWidth="1"/>
    <col min="3" max="9" width="10.28515625" customWidth="1"/>
    <col min="10" max="12" width="11" customWidth="1"/>
    <col min="13" max="13" width="36.140625" customWidth="1"/>
    <col min="14" max="14" width="14.5703125" customWidth="1"/>
    <col min="15" max="15" width="29.28515625" customWidth="1"/>
    <col min="16" max="17" width="14.5703125" customWidth="1"/>
    <col min="18" max="18" width="34.140625" customWidth="1"/>
    <col min="19" max="20" width="14.5703125" customWidth="1"/>
    <col min="21" max="21" width="14.140625" customWidth="1"/>
    <col min="22" max="22" width="13.140625" customWidth="1"/>
    <col min="23" max="23" width="13.7109375" customWidth="1"/>
    <col min="24" max="28" width="14.42578125" bestFit="1" customWidth="1"/>
    <col min="29" max="29" width="15" customWidth="1"/>
    <col min="30" max="41" width="10.85546875" bestFit="1" customWidth="1"/>
    <col min="42" max="42" width="11.42578125" customWidth="1"/>
  </cols>
  <sheetData>
    <row r="1" spans="1:56" ht="20.25" x14ac:dyDescent="0.3">
      <c r="A1" s="40" t="s">
        <v>49</v>
      </c>
      <c r="M1" s="40" t="s">
        <v>54</v>
      </c>
      <c r="N1" s="429" t="s">
        <v>219</v>
      </c>
      <c r="O1" s="338" t="s">
        <v>165</v>
      </c>
      <c r="P1" s="23" t="s">
        <v>216</v>
      </c>
      <c r="Q1" s="23"/>
      <c r="R1" s="23"/>
      <c r="S1" s="23"/>
      <c r="T1" s="23"/>
      <c r="AQ1" s="23"/>
      <c r="AR1" s="23"/>
      <c r="AS1" s="23"/>
      <c r="AT1" s="23"/>
      <c r="AU1" s="23"/>
    </row>
    <row r="2" spans="1:56" x14ac:dyDescent="0.25">
      <c r="M2" s="33" t="s">
        <v>33</v>
      </c>
      <c r="N2" s="112" t="s">
        <v>238</v>
      </c>
      <c r="O2" s="59" t="str">
        <f>CONCATENATE("FY",RIGHT(N2,4)+"1")</f>
        <v>FY2026</v>
      </c>
      <c r="P2" s="59" t="str">
        <f t="shared" ref="P2:U2" si="0">CONCATENATE("FY",RIGHT(O2,4)+"1")</f>
        <v>FY2027</v>
      </c>
      <c r="Q2" s="59" t="str">
        <f t="shared" si="0"/>
        <v>FY2028</v>
      </c>
      <c r="R2" s="59" t="str">
        <f t="shared" si="0"/>
        <v>FY2029</v>
      </c>
      <c r="S2" s="59" t="str">
        <f t="shared" si="0"/>
        <v>FY2030</v>
      </c>
      <c r="T2" s="59" t="str">
        <f t="shared" si="0"/>
        <v>FY2031</v>
      </c>
      <c r="U2" s="59" t="str">
        <f t="shared" si="0"/>
        <v>FY2032</v>
      </c>
      <c r="V2" s="59" t="str">
        <f t="shared" ref="V2" si="1">CONCATENATE("FY",RIGHT(U2,4)+"1")</f>
        <v>FY2033</v>
      </c>
      <c r="W2" s="59" t="str">
        <f t="shared" ref="W2" si="2">CONCATENATE("FY",RIGHT(V2,4)+"1")</f>
        <v>FY2034</v>
      </c>
      <c r="X2" s="59" t="str">
        <f t="shared" ref="X2:AB2" si="3">CONCATENATE("FY",RIGHT(W2,4)+"1")</f>
        <v>FY2035</v>
      </c>
      <c r="Y2" s="59" t="str">
        <f t="shared" si="3"/>
        <v>FY2036</v>
      </c>
      <c r="Z2" s="59" t="str">
        <f t="shared" si="3"/>
        <v>FY2037</v>
      </c>
      <c r="AA2" s="59" t="str">
        <f t="shared" si="3"/>
        <v>FY2038</v>
      </c>
      <c r="AB2" s="59" t="str">
        <f t="shared" si="3"/>
        <v>FY2039</v>
      </c>
      <c r="AC2" s="421" t="s">
        <v>89</v>
      </c>
      <c r="AD2" s="57">
        <f>MONTH(DATE(YEAR(B5),MONTH(B5),1))</f>
        <v>1</v>
      </c>
      <c r="AE2" s="23"/>
      <c r="AF2" s="23"/>
      <c r="AG2" s="23"/>
      <c r="AH2" s="23"/>
      <c r="AI2" s="23"/>
      <c r="AJ2" s="23"/>
      <c r="AR2" s="23" t="str">
        <f ca="1">CELL("filename",'Lead Budget'!$A$1)</f>
        <v>\\files.cornell.edu\RS\RAIS\OSP-PRO\Intake\######_LastName_YYYY_Sponsor_Program_w_LEAD\01_Budget_Drafts\[######_LastName_Budget_v1.xlsx]Lead Budget</v>
      </c>
      <c r="BD2" t="s">
        <v>136</v>
      </c>
    </row>
    <row r="3" spans="1:56" x14ac:dyDescent="0.25">
      <c r="A3" s="23" t="s">
        <v>135</v>
      </c>
      <c r="B3" s="111" t="s">
        <v>136</v>
      </c>
      <c r="J3" s="111"/>
      <c r="K3" s="111"/>
      <c r="L3" s="436" t="s">
        <v>228</v>
      </c>
      <c r="M3" s="434" t="s">
        <v>121</v>
      </c>
      <c r="N3" s="390">
        <v>0.67600000000000005</v>
      </c>
      <c r="O3" s="390">
        <v>0.67</v>
      </c>
      <c r="P3" s="390">
        <v>0.69</v>
      </c>
      <c r="Q3" s="390">
        <v>0.71499999999999997</v>
      </c>
      <c r="R3" s="390">
        <v>0.71499999999999997</v>
      </c>
      <c r="S3" s="390">
        <v>0.71499999999999997</v>
      </c>
      <c r="T3" s="390">
        <v>0.71499999999999997</v>
      </c>
      <c r="U3" s="390">
        <v>0.71499999999999997</v>
      </c>
      <c r="V3" s="390">
        <v>0.71499999999999997</v>
      </c>
      <c r="W3" s="390">
        <v>0.71499999999999997</v>
      </c>
      <c r="X3" s="390">
        <v>0.71499999999999997</v>
      </c>
      <c r="Y3" s="390">
        <v>0.71499999999999997</v>
      </c>
      <c r="Z3" s="390">
        <v>0.71499999999999997</v>
      </c>
      <c r="AA3" s="390">
        <v>0.71499999999999997</v>
      </c>
      <c r="AB3" s="390">
        <v>0.71499999999999997</v>
      </c>
      <c r="AC3" s="421" t="s">
        <v>68</v>
      </c>
      <c r="AD3" s="57">
        <f>YEAR(DATE(YEAR(B5),MONTH(B5)+6,1))</f>
        <v>2025</v>
      </c>
      <c r="AE3" s="103" t="s">
        <v>1</v>
      </c>
      <c r="AF3" s="103" t="s">
        <v>2</v>
      </c>
      <c r="AG3" s="103" t="s">
        <v>3</v>
      </c>
      <c r="AH3" s="103" t="s">
        <v>39</v>
      </c>
      <c r="AI3" s="103" t="s">
        <v>45</v>
      </c>
      <c r="AJ3" s="103" t="s">
        <v>183</v>
      </c>
      <c r="AK3" s="103" t="s">
        <v>184</v>
      </c>
      <c r="AL3" s="103" t="s">
        <v>185</v>
      </c>
      <c r="AM3" s="103" t="s">
        <v>186</v>
      </c>
      <c r="AN3" s="103" t="s">
        <v>187</v>
      </c>
      <c r="AO3" s="103" t="s">
        <v>188</v>
      </c>
      <c r="AP3" s="103" t="s">
        <v>189</v>
      </c>
      <c r="AQ3" s="103"/>
      <c r="AR3" s="23" t="str">
        <f ca="1">CELL("filename",'Co-PI Budget (1)'!$A$1)</f>
        <v>\\files.cornell.edu\RS\RAIS\OSP-PRO\Intake\######_LastName_YYYY_Sponsor_Program_w_LEAD\01_Budget_Drafts\[######_LastName_Budget_v1.xlsx]Co-PI Budget (1)</v>
      </c>
      <c r="BD3" t="s">
        <v>137</v>
      </c>
    </row>
    <row r="4" spans="1:56" x14ac:dyDescent="0.25">
      <c r="A4" s="23" t="s">
        <v>48</v>
      </c>
      <c r="B4" s="111"/>
      <c r="C4" s="23"/>
      <c r="J4" s="111"/>
      <c r="K4" s="111"/>
      <c r="L4" s="437" t="s">
        <v>232</v>
      </c>
      <c r="M4" s="434" t="s">
        <v>122</v>
      </c>
      <c r="N4" s="390">
        <v>0.70220000000000005</v>
      </c>
      <c r="O4" s="390">
        <v>0.7</v>
      </c>
      <c r="P4" s="390">
        <v>0.72</v>
      </c>
      <c r="Q4" s="390">
        <v>0.745</v>
      </c>
      <c r="R4" s="390">
        <v>0.745</v>
      </c>
      <c r="S4" s="390">
        <v>0.745</v>
      </c>
      <c r="T4" s="390">
        <v>0.745</v>
      </c>
      <c r="U4" s="390">
        <v>0.745</v>
      </c>
      <c r="V4" s="390">
        <v>0.745</v>
      </c>
      <c r="W4" s="390">
        <v>0.745</v>
      </c>
      <c r="X4" s="390">
        <v>0.745</v>
      </c>
      <c r="Y4" s="390">
        <v>0.745</v>
      </c>
      <c r="Z4" s="390">
        <v>0.745</v>
      </c>
      <c r="AA4" s="390">
        <v>0.745</v>
      </c>
      <c r="AB4" s="390">
        <v>0.745</v>
      </c>
      <c r="AC4" s="23"/>
      <c r="AD4" s="103" t="s">
        <v>29</v>
      </c>
      <c r="AE4" s="24" t="str">
        <f>CONCATENATE("FY",$AD$3)</f>
        <v>FY2025</v>
      </c>
      <c r="AF4" s="24" t="str">
        <f>CONCATENATE("FY",$AD$3+1)</f>
        <v>FY2026</v>
      </c>
      <c r="AG4" s="24" t="str">
        <f>CONCATENATE("FY",$AD$3+2)</f>
        <v>FY2027</v>
      </c>
      <c r="AH4" s="24" t="str">
        <f>CONCATENATE("FY",$AD$3+3)</f>
        <v>FY2028</v>
      </c>
      <c r="AI4" s="24" t="str">
        <f>CONCATENATE("FY",$AD$3+4)</f>
        <v>FY2029</v>
      </c>
      <c r="AJ4" s="24" t="str">
        <f>CONCATENATE("FY",$AD$3+5)</f>
        <v>FY2030</v>
      </c>
      <c r="AK4" s="24" t="str">
        <f>CONCATENATE("FY",$AD$3+6)</f>
        <v>FY2031</v>
      </c>
      <c r="AL4" s="24" t="str">
        <f>CONCATENATE("FY",$AD$3+7)</f>
        <v>FY2032</v>
      </c>
      <c r="AM4" s="24" t="str">
        <f>CONCATENATE("FY",$AD$3+8)</f>
        <v>FY2033</v>
      </c>
      <c r="AN4" s="24" t="str">
        <f>CONCATENATE("FY",$AD$3+9)</f>
        <v>FY2034</v>
      </c>
      <c r="AO4" s="24" t="str">
        <f>CONCATENATE("FY",$AD$3+10)</f>
        <v>FY2035</v>
      </c>
      <c r="AP4" s="24" t="str">
        <f>CONCATENATE("FY",$AD$3+11)</f>
        <v>FY2036</v>
      </c>
      <c r="AQ4" s="24"/>
      <c r="AR4" s="23" t="str">
        <f ca="1">CELL("filename",'Co-PI Budget (2)'!$A$1)</f>
        <v>\\files.cornell.edu\RS\RAIS\OSP-PRO\Intake\######_LastName_YYYY_Sponsor_Program_w_LEAD\01_Budget_Drafts\[######_LastName_Budget_v1.xlsx]Co-PI Budget (2)</v>
      </c>
      <c r="BD4" t="s">
        <v>215</v>
      </c>
    </row>
    <row r="5" spans="1:56" x14ac:dyDescent="0.25">
      <c r="A5" s="23" t="s">
        <v>51</v>
      </c>
      <c r="B5" s="190">
        <v>45658</v>
      </c>
      <c r="J5" s="111"/>
      <c r="K5" s="111"/>
      <c r="L5" s="436" t="s">
        <v>228</v>
      </c>
      <c r="M5" s="435" t="s">
        <v>123</v>
      </c>
      <c r="N5" s="391">
        <v>0.35</v>
      </c>
      <c r="O5" s="391">
        <v>0.35</v>
      </c>
      <c r="P5" s="391">
        <v>0.35499999999999998</v>
      </c>
      <c r="Q5" s="391">
        <v>0.37</v>
      </c>
      <c r="R5" s="391">
        <v>0.37</v>
      </c>
      <c r="S5" s="391">
        <v>0.37</v>
      </c>
      <c r="T5" s="391">
        <v>0.37</v>
      </c>
      <c r="U5" s="391">
        <v>0.37</v>
      </c>
      <c r="V5" s="391">
        <v>0.37</v>
      </c>
      <c r="W5" s="391">
        <v>0.37</v>
      </c>
      <c r="X5" s="391">
        <v>0.37</v>
      </c>
      <c r="Y5" s="391">
        <v>0.37</v>
      </c>
      <c r="Z5" s="391">
        <v>0.37</v>
      </c>
      <c r="AA5" s="391">
        <v>0.37</v>
      </c>
      <c r="AB5" s="391">
        <v>0.37</v>
      </c>
      <c r="AC5" s="23"/>
      <c r="AD5" s="103" t="s">
        <v>65</v>
      </c>
      <c r="AE5" s="24" t="str">
        <f>IF($P$41&lt;12,CONCATENATE("FY",$AD$3+1),CONCATENATE("FY",$AD$3))</f>
        <v>FY2026</v>
      </c>
      <c r="AF5" s="24" t="str">
        <f>IF($P$41&lt;12,CONCATENATE("FY",$AD$3+2),CONCATENATE("FY",$AD$3+1))</f>
        <v>FY2027</v>
      </c>
      <c r="AG5" s="24" t="str">
        <f>IF($P$41&lt;12,CONCATENATE("FY",$AD$3+3),CONCATENATE("FY",$AD$3+2))</f>
        <v>FY2028</v>
      </c>
      <c r="AH5" s="24" t="str">
        <f>IF($P$41&lt;12,CONCATENATE("FY",$AD$3+4),CONCATENATE("FY",$AD$3+3))</f>
        <v>FY2029</v>
      </c>
      <c r="AI5" s="24" t="str">
        <f>IF($P$41&lt;12,CONCATENATE("FY",$AD$3+5),CONCATENATE("FY",$AD$3+4))</f>
        <v>FY2030</v>
      </c>
      <c r="AJ5" s="24" t="str">
        <f>IF($P$41&lt;12,CONCATENATE("FY",$AD$3+6),CONCATENATE("FY",$AD$3+5))</f>
        <v>FY2031</v>
      </c>
      <c r="AK5" s="24" t="str">
        <f>IF($P$41&lt;12,CONCATENATE("FY",$AD$3+7),CONCATENATE("FY",$AD$3+6))</f>
        <v>FY2032</v>
      </c>
      <c r="AL5" s="24" t="str">
        <f>IF($P$41&lt;12,CONCATENATE("FY",$AD$3+8),CONCATENATE("FY",$AD$3+7))</f>
        <v>FY2033</v>
      </c>
      <c r="AM5" s="24" t="str">
        <f>IF($P$41&lt;12,CONCATENATE("FY",$AD$3+9),CONCATENATE("FY",$AD$3+8))</f>
        <v>FY2034</v>
      </c>
      <c r="AN5" s="24" t="str">
        <f>IF($P$41&lt;12,CONCATENATE("FY",$AD$3+10),CONCATENATE("FY",$AD$3+9))</f>
        <v>FY2035</v>
      </c>
      <c r="AO5" s="24" t="str">
        <f>IF($P$41&lt;12,CONCATENATE("FY",$AD$3+11),CONCATENATE("FY",$AD$3+10))</f>
        <v>FY2036</v>
      </c>
      <c r="AP5" s="24" t="str">
        <f>IF($P$41&lt;12,CONCATENATE("FY",$AD$3+12),CONCATENATE("FY",$AD$3+11))</f>
        <v>FY2037</v>
      </c>
      <c r="AQ5" s="24"/>
      <c r="AR5" s="23" t="str">
        <f ca="1">CELL("filename",'Co-PI Budget (3)'!$A$1)</f>
        <v>\\files.cornell.edu\RS\RAIS\OSP-PRO\Intake\######_LastName_YYYY_Sponsor_Program_w_LEAD\01_Budget_Drafts\[######_LastName_Budget_v1.xlsx]Co-PI Budget (3)</v>
      </c>
      <c r="BD5" t="s">
        <v>211</v>
      </c>
    </row>
    <row r="6" spans="1:56" x14ac:dyDescent="0.25">
      <c r="A6" s="23" t="s">
        <v>96</v>
      </c>
      <c r="B6" s="111" t="s">
        <v>90</v>
      </c>
      <c r="G6" s="116"/>
      <c r="L6" s="436" t="s">
        <v>233</v>
      </c>
      <c r="M6" s="434" t="s">
        <v>124</v>
      </c>
      <c r="N6" s="390">
        <v>0.56999999999999995</v>
      </c>
      <c r="O6" s="390">
        <v>0.56999999999999995</v>
      </c>
      <c r="P6" s="390">
        <v>0.56999999999999995</v>
      </c>
      <c r="Q6" s="390">
        <v>0.56999999999999995</v>
      </c>
      <c r="R6" s="390">
        <v>0.56999999999999995</v>
      </c>
      <c r="S6" s="390">
        <v>0.56999999999999995</v>
      </c>
      <c r="T6" s="390">
        <v>0.56999999999999995</v>
      </c>
      <c r="U6" s="390">
        <v>0.56999999999999995</v>
      </c>
      <c r="V6" s="390">
        <v>0.56999999999999995</v>
      </c>
      <c r="W6" s="390">
        <v>0.56999999999999995</v>
      </c>
      <c r="X6" s="390">
        <v>0.56999999999999995</v>
      </c>
      <c r="Y6" s="390">
        <v>0.56999999999999995</v>
      </c>
      <c r="Z6" s="390">
        <v>0.56999999999999995</v>
      </c>
      <c r="AA6" s="390">
        <v>0.56999999999999995</v>
      </c>
      <c r="AB6" s="390">
        <v>0.56999999999999995</v>
      </c>
      <c r="AC6" s="23"/>
      <c r="AD6" s="103" t="s">
        <v>84</v>
      </c>
      <c r="AE6" s="122">
        <f>+B5</f>
        <v>45658</v>
      </c>
      <c r="AF6" s="122">
        <f>+AE7+1</f>
        <v>46023</v>
      </c>
      <c r="AG6" s="122">
        <f>+AF7+1</f>
        <v>46388</v>
      </c>
      <c r="AH6" s="122">
        <f>+AG7+1</f>
        <v>46753</v>
      </c>
      <c r="AI6" s="122">
        <f>+AH7+1</f>
        <v>47119</v>
      </c>
      <c r="AJ6" s="122">
        <f t="shared" ref="AJ6:AK6" si="4">+AI7+1</f>
        <v>47484</v>
      </c>
      <c r="AK6" s="122">
        <f t="shared" si="4"/>
        <v>47849</v>
      </c>
      <c r="AL6" s="122">
        <f t="shared" ref="AL6" si="5">+AK7+1</f>
        <v>48214</v>
      </c>
      <c r="AM6" s="122">
        <f t="shared" ref="AM6" si="6">+AL7+1</f>
        <v>48580</v>
      </c>
      <c r="AN6" s="122">
        <f t="shared" ref="AN6:AP6" si="7">+AM7+1</f>
        <v>48945</v>
      </c>
      <c r="AO6" s="122">
        <f t="shared" si="7"/>
        <v>49310</v>
      </c>
      <c r="AP6" s="122">
        <f t="shared" si="7"/>
        <v>49675</v>
      </c>
      <c r="AR6" s="23" t="str">
        <f ca="1">CELL("filename",'Co-PI Budget (4)'!$A$1)</f>
        <v>\\files.cornell.edu\RS\RAIS\OSP-PRO\Intake\######_LastName_YYYY_Sponsor_Program_w_LEAD\01_Budget_Drafts\[######_LastName_Budget_v1.xlsx]Co-PI Budget (4)</v>
      </c>
      <c r="BD6" t="s">
        <v>212</v>
      </c>
    </row>
    <row r="7" spans="1:56" x14ac:dyDescent="0.25">
      <c r="A7" s="23" t="s">
        <v>133</v>
      </c>
      <c r="B7" s="111" t="s">
        <v>129</v>
      </c>
      <c r="G7" s="116"/>
      <c r="L7" s="437" t="s">
        <v>234</v>
      </c>
      <c r="M7" s="434" t="s">
        <v>81</v>
      </c>
      <c r="N7" s="390">
        <v>0.64</v>
      </c>
      <c r="O7" s="390">
        <v>0.64</v>
      </c>
      <c r="P7" s="390">
        <v>0.64</v>
      </c>
      <c r="Q7" s="390">
        <v>0.64</v>
      </c>
      <c r="R7" s="390">
        <v>0.64</v>
      </c>
      <c r="S7" s="390">
        <v>0.64</v>
      </c>
      <c r="T7" s="390">
        <v>0.64</v>
      </c>
      <c r="U7" s="390">
        <v>0.64</v>
      </c>
      <c r="V7" s="390">
        <v>0.64</v>
      </c>
      <c r="W7" s="390">
        <v>0.64</v>
      </c>
      <c r="X7" s="390">
        <v>0.64</v>
      </c>
      <c r="Y7" s="390">
        <v>0.64</v>
      </c>
      <c r="Z7" s="390">
        <v>0.64</v>
      </c>
      <c r="AA7" s="390">
        <v>0.64</v>
      </c>
      <c r="AB7" s="390">
        <v>0.64</v>
      </c>
      <c r="AC7" s="23"/>
      <c r="AD7" s="103" t="s">
        <v>85</v>
      </c>
      <c r="AE7" s="122">
        <f>DATE(YEAR(AE6), MONTH(AE6) + 12, DAY(AE6))-1</f>
        <v>46022</v>
      </c>
      <c r="AF7" s="122">
        <f>DATE(YEAR(AF6), MONTH(AF6) + 12, DAY(AF6))-1</f>
        <v>46387</v>
      </c>
      <c r="AG7" s="122">
        <f>DATE(YEAR(AG6), MONTH(AG6) + 12, DAY(AG6))-1</f>
        <v>46752</v>
      </c>
      <c r="AH7" s="122">
        <f>DATE(YEAR(AH6), MONTH(AH6) + 12, DAY(AH6))-1</f>
        <v>47118</v>
      </c>
      <c r="AI7" s="122">
        <f>DATE(YEAR(AI6), MONTH(AI6) + 12, DAY(AI6))-1</f>
        <v>47483</v>
      </c>
      <c r="AJ7" s="122">
        <f t="shared" ref="AJ7:AK7" si="8">DATE(YEAR(AJ6), MONTH(AJ6) + 12, DAY(AJ6))-1</f>
        <v>47848</v>
      </c>
      <c r="AK7" s="122">
        <f t="shared" si="8"/>
        <v>48213</v>
      </c>
      <c r="AL7" s="122">
        <f t="shared" ref="AL7:AN7" si="9">DATE(YEAR(AL6), MONTH(AL6) + 12, DAY(AL6))-1</f>
        <v>48579</v>
      </c>
      <c r="AM7" s="122">
        <f t="shared" si="9"/>
        <v>48944</v>
      </c>
      <c r="AN7" s="122">
        <f t="shared" si="9"/>
        <v>49309</v>
      </c>
      <c r="AO7" s="122">
        <f t="shared" ref="AO7:AP7" si="10">DATE(YEAR(AO6), MONTH(AO6) + 12, DAY(AO6))-1</f>
        <v>49674</v>
      </c>
      <c r="AP7" s="122">
        <f t="shared" si="10"/>
        <v>50040</v>
      </c>
      <c r="AR7" s="23" t="str">
        <f ca="1">CELL("filename",'Co-PI Budget (5)'!$A$1)</f>
        <v>\\files.cornell.edu\RS\RAIS\OSP-PRO\Intake\######_LastName_YYYY_Sponsor_Program_w_LEAD\01_Budget_Drafts\[######_LastName_Budget_v1.xlsx]Co-PI Budget (5)</v>
      </c>
      <c r="BD7" t="s">
        <v>214</v>
      </c>
    </row>
    <row r="8" spans="1:56" x14ac:dyDescent="0.25">
      <c r="A8" s="23" t="s">
        <v>99</v>
      </c>
      <c r="B8" s="111" t="s">
        <v>91</v>
      </c>
      <c r="H8" s="116"/>
      <c r="L8" s="437" t="s">
        <v>234</v>
      </c>
      <c r="M8" s="434" t="s">
        <v>130</v>
      </c>
      <c r="N8" s="390">
        <v>0.37</v>
      </c>
      <c r="O8" s="390">
        <v>0.37</v>
      </c>
      <c r="P8" s="390">
        <v>0.37</v>
      </c>
      <c r="Q8" s="390">
        <v>0.37</v>
      </c>
      <c r="R8" s="390">
        <v>0.37</v>
      </c>
      <c r="S8" s="390">
        <v>0.37</v>
      </c>
      <c r="T8" s="390">
        <v>0.37</v>
      </c>
      <c r="U8" s="390">
        <v>0.37</v>
      </c>
      <c r="V8" s="390">
        <v>0.37</v>
      </c>
      <c r="W8" s="390">
        <v>0.37</v>
      </c>
      <c r="X8" s="390">
        <v>0.37</v>
      </c>
      <c r="Y8" s="390">
        <v>0.37</v>
      </c>
      <c r="Z8" s="390">
        <v>0.37</v>
      </c>
      <c r="AA8" s="390">
        <v>0.37</v>
      </c>
      <c r="AB8" s="390">
        <v>0.37</v>
      </c>
      <c r="AC8" s="23"/>
      <c r="AD8" s="103" t="s">
        <v>86</v>
      </c>
      <c r="AE8" s="24" t="str">
        <f>CONCATENATE(YEAR(DATE(YEAR(AE6),MONTH(AE6),1)),"-",YEAR(DATE(YEAR(AE7),MONTH(AE7),1)))</f>
        <v>2025-2025</v>
      </c>
      <c r="AF8" s="24" t="str">
        <f>CONCATENATE(YEAR(DATE(YEAR(AF6),MONTH(AF6),1)),"-",YEAR(DATE(YEAR(AF7),MONTH(AF7),1)))</f>
        <v>2026-2026</v>
      </c>
      <c r="AG8" s="24" t="str">
        <f>CONCATENATE(YEAR(DATE(YEAR(AG6),MONTH(AG6),1)),"-",YEAR(DATE(YEAR(AG7),MONTH(AG7),1)))</f>
        <v>2027-2027</v>
      </c>
      <c r="AH8" s="24" t="str">
        <f>CONCATENATE(YEAR(DATE(YEAR(AH6),MONTH(AH6),1)),"-",YEAR(DATE(YEAR(AH7),MONTH(AH7),1)))</f>
        <v>2028-2028</v>
      </c>
      <c r="AI8" s="24" t="str">
        <f>CONCATENATE(YEAR(DATE(YEAR(AI6),MONTH(AI6),1)),"-",YEAR(DATE(YEAR(AI7),MONTH(AI7),1)))</f>
        <v>2029-2029</v>
      </c>
      <c r="AJ8" s="24" t="str">
        <f t="shared" ref="AJ8:AK8" si="11">CONCATENATE(YEAR(DATE(YEAR(AJ6),MONTH(AJ6),1)),"-",YEAR(DATE(YEAR(AJ7),MONTH(AJ7),1)))</f>
        <v>2030-2030</v>
      </c>
      <c r="AK8" s="24" t="str">
        <f t="shared" si="11"/>
        <v>2031-2031</v>
      </c>
      <c r="AL8" s="24" t="str">
        <f t="shared" ref="AL8:AN8" si="12">CONCATENATE(YEAR(DATE(YEAR(AL6),MONTH(AL6),1)),"-",YEAR(DATE(YEAR(AL7),MONTH(AL7),1)))</f>
        <v>2032-2032</v>
      </c>
      <c r="AM8" s="24" t="str">
        <f t="shared" si="12"/>
        <v>2033-2033</v>
      </c>
      <c r="AN8" s="24" t="str">
        <f t="shared" si="12"/>
        <v>2034-2034</v>
      </c>
      <c r="AO8" s="24" t="str">
        <f t="shared" ref="AO8:AP8" si="13">CONCATENATE(YEAR(DATE(YEAR(AO6),MONTH(AO6),1)),"-",YEAR(DATE(YEAR(AO7),MONTH(AO7),1)))</f>
        <v>2035-2035</v>
      </c>
      <c r="AP8" s="24" t="str">
        <f t="shared" si="13"/>
        <v>2036-2036</v>
      </c>
      <c r="AR8" s="23" t="str">
        <f ca="1">CELL("filename",'Consortium 1'!$A$1)</f>
        <v>\\files.cornell.edu\RS\RAIS\OSP-PRO\Intake\######_LastName_YYYY_Sponsor_Program_w_LEAD\01_Budget_Drafts\[######_LastName_Budget_v1.xlsx]Consortium 1</v>
      </c>
      <c r="BD8" t="s">
        <v>213</v>
      </c>
    </row>
    <row r="9" spans="1:56" x14ac:dyDescent="0.25">
      <c r="A9" s="23" t="str">
        <f>IF($B$8="Yes"," ",IF($B$8="No","Select Percentage Base TDC or TFF:",FALSE))</f>
        <v xml:space="preserve"> </v>
      </c>
      <c r="B9" s="233" t="str">
        <f>IF(OR($A$9=" ",$A$9="Select Percentage Base TDC or TFF:")," ")</f>
        <v xml:space="preserve"> </v>
      </c>
      <c r="C9" s="231" t="str">
        <f>IF($B$8="Yes"," ",IF($B$8="No","Total Direct Costs (TDC) or Total Federal Funds (TFF)",FALSE))</f>
        <v xml:space="preserve"> </v>
      </c>
      <c r="H9" s="116"/>
      <c r="L9" s="437" t="s">
        <v>234</v>
      </c>
      <c r="M9" s="434" t="s">
        <v>82</v>
      </c>
      <c r="N9" s="390">
        <v>0.26</v>
      </c>
      <c r="O9" s="390">
        <v>0.26</v>
      </c>
      <c r="P9" s="390">
        <v>0.26</v>
      </c>
      <c r="Q9" s="390">
        <v>0.26</v>
      </c>
      <c r="R9" s="390">
        <v>0.26</v>
      </c>
      <c r="S9" s="390">
        <v>0.26</v>
      </c>
      <c r="T9" s="390">
        <v>0.26</v>
      </c>
      <c r="U9" s="390">
        <v>0.26</v>
      </c>
      <c r="V9" s="390">
        <v>0.26</v>
      </c>
      <c r="W9" s="390">
        <v>0.26</v>
      </c>
      <c r="X9" s="390">
        <v>0.26</v>
      </c>
      <c r="Y9" s="390">
        <v>0.26</v>
      </c>
      <c r="Z9" s="390">
        <v>0.26</v>
      </c>
      <c r="AA9" s="390">
        <v>0.26</v>
      </c>
      <c r="AB9" s="390">
        <v>0.26</v>
      </c>
      <c r="AR9" s="23" t="str">
        <f ca="1">CELL("filename",'Consortium 2'!$A$1)</f>
        <v>\\files.cornell.edu\RS\RAIS\OSP-PRO\Intake\######_LastName_YYYY_Sponsor_Program_w_LEAD\01_Budget_Drafts\[######_LastName_Budget_v1.xlsx]Consortium 2</v>
      </c>
    </row>
    <row r="10" spans="1:56" x14ac:dyDescent="0.25">
      <c r="A10" s="23" t="str">
        <f>IF($B$9="TDC","Enter % to be applied to Total Direct Costs",IF($B$9="TFF","Enter % of the total Federal funds allowed:"," "))</f>
        <v xml:space="preserve"> </v>
      </c>
      <c r="B10" s="191" t="str">
        <f>IF(OR($A$10="Enter % to be applied to Total Direct Costs",$A$10="Enter % of the total Federal funds allowed:"),0," ")</f>
        <v xml:space="preserve"> </v>
      </c>
      <c r="C10" s="23" t="str">
        <f>IF(OR(B10=0,B10=" ")," ",IF(OR($B$9="TDC",$B$9=" ")," ",CONCATENATE("This limitation is equivalent to ",TEXT(ROUND(+$B$10/(1-$B$10),5),"0.000%")," of the total direct costs")))</f>
        <v xml:space="preserve"> </v>
      </c>
      <c r="I10" s="116"/>
      <c r="L10" s="437"/>
      <c r="M10" s="434" t="s">
        <v>125</v>
      </c>
      <c r="N10" s="430" t="str">
        <f>IF(OR($B$8="Yes",$B$10=" "),"",IF(AND($B$8="No",$B$9="TDC"),$B$10,IF(AND($B$8="No",$B$9="TFF"),ROUND(+$B$10/(1-$B$10),5),FALSE)))</f>
        <v/>
      </c>
      <c r="O10" s="430" t="str">
        <f t="shared" ref="O10:T10" si="14">IF(OR($B$8="Yes",$B$10=" "),"",IF(AND($B$8="No",$B$9="TDC"),$B$10,IF(AND($B$8="No",$B$9="TFF"),ROUND(+$B$10/(1-$B$10),5),FALSE)))</f>
        <v/>
      </c>
      <c r="P10" s="430" t="str">
        <f t="shared" si="14"/>
        <v/>
      </c>
      <c r="Q10" s="430" t="str">
        <f t="shared" si="14"/>
        <v/>
      </c>
      <c r="R10" s="430" t="str">
        <f t="shared" si="14"/>
        <v/>
      </c>
      <c r="S10" s="430" t="str">
        <f t="shared" si="14"/>
        <v/>
      </c>
      <c r="T10" s="430" t="str">
        <f t="shared" si="14"/>
        <v/>
      </c>
      <c r="U10" s="430"/>
      <c r="V10" s="430"/>
      <c r="W10" s="430"/>
      <c r="X10" s="431"/>
      <c r="Y10" s="431"/>
      <c r="Z10" s="431"/>
      <c r="AA10" s="431"/>
      <c r="AB10" s="431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 t="str">
        <f ca="1">CELL("filename",'Consortium 3'!$A$1)</f>
        <v>\\files.cornell.edu\RS\RAIS\OSP-PRO\Intake\######_LastName_YYYY_Sponsor_Program_w_LEAD\01_Budget_Drafts\[######_LastName_Budget_v1.xlsx]Consortium 3</v>
      </c>
    </row>
    <row r="11" spans="1:56" x14ac:dyDescent="0.25">
      <c r="A11" s="23"/>
      <c r="B11" s="23"/>
      <c r="C11" s="23"/>
      <c r="D11" s="23"/>
      <c r="E11" s="23"/>
      <c r="F11" s="116"/>
      <c r="I11" s="23"/>
      <c r="J11" s="111"/>
      <c r="K11" s="111"/>
      <c r="L11" s="436" t="s">
        <v>228</v>
      </c>
      <c r="M11" s="434" t="s">
        <v>226</v>
      </c>
      <c r="N11" s="433">
        <v>0.03</v>
      </c>
      <c r="O11" s="433">
        <v>3.7499999999999999E-2</v>
      </c>
      <c r="P11" s="433">
        <v>3.5000000000000003E-2</v>
      </c>
      <c r="Q11" s="433">
        <v>3.2500000000000001E-2</v>
      </c>
      <c r="R11" s="433">
        <v>3.2500000000000001E-2</v>
      </c>
      <c r="S11" s="433">
        <v>3.2500000000000001E-2</v>
      </c>
      <c r="T11" s="433">
        <v>3.2500000000000001E-2</v>
      </c>
      <c r="U11" s="433">
        <v>3.2500000000000001E-2</v>
      </c>
      <c r="V11" s="433">
        <v>3.2500000000000001E-2</v>
      </c>
      <c r="W11" s="433">
        <v>3.2500000000000001E-2</v>
      </c>
      <c r="X11" s="433">
        <v>3.2500000000000001E-2</v>
      </c>
      <c r="Y11" s="433">
        <v>3.2500000000000001E-2</v>
      </c>
      <c r="Z11" s="433">
        <v>3.2500000000000001E-2</v>
      </c>
      <c r="AA11" s="433">
        <v>3.2500000000000001E-2</v>
      </c>
      <c r="AB11" s="433">
        <v>3.2500000000000001E-2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 t="str">
        <f ca="1">CELL("filename",'Consortium 4'!$A$1)</f>
        <v>\\files.cornell.edu\RS\RAIS\OSP-PRO\Intake\######_LastName_YYYY_Sponsor_Program_w_LEAD\01_Budget_Drafts\[######_LastName_Budget_v1.xlsx]Consortium 4</v>
      </c>
    </row>
    <row r="12" spans="1:56" x14ac:dyDescent="0.25">
      <c r="A12" s="235" t="str">
        <f>IF($B$8="Yes"," ","Rate being applied to Total Direct Costs:")</f>
        <v xml:space="preserve"> </v>
      </c>
      <c r="B12" s="234" t="str">
        <f>IF(OR($B$8="Yes",$B$10=" "),"",IF(AND($B$8="No",$B$9="TDC"),$B$10,IF(AND($B$8="No",$B$9="TFF"),ROUND(+$B$10/(1-$B$10),5),FALSE)))</f>
        <v/>
      </c>
      <c r="C12" s="232"/>
      <c r="D12" s="236"/>
      <c r="I12" s="23"/>
      <c r="J12" s="111"/>
      <c r="K12" s="111"/>
      <c r="L12" s="437" t="s">
        <v>234</v>
      </c>
      <c r="M12" s="434" t="s">
        <v>227</v>
      </c>
      <c r="N12" s="433">
        <v>0.03</v>
      </c>
      <c r="O12" s="433">
        <v>3.5000000000000003E-2</v>
      </c>
      <c r="P12" s="433">
        <v>3.3000000000000002E-2</v>
      </c>
      <c r="Q12" s="433">
        <v>0.03</v>
      </c>
      <c r="R12" s="432">
        <v>0.03</v>
      </c>
      <c r="S12" s="432">
        <v>0.03</v>
      </c>
      <c r="T12" s="432">
        <v>0.03</v>
      </c>
      <c r="U12" s="432">
        <v>0.03</v>
      </c>
      <c r="V12" s="432">
        <v>0.03</v>
      </c>
      <c r="W12" s="432">
        <v>0.03</v>
      </c>
      <c r="X12" s="432">
        <v>0.03</v>
      </c>
      <c r="Y12" s="432">
        <v>0.03</v>
      </c>
      <c r="Z12" s="432">
        <v>0.03</v>
      </c>
      <c r="AA12" s="432">
        <v>0.03</v>
      </c>
      <c r="AB12" s="432">
        <v>0.03</v>
      </c>
      <c r="AC12" s="23" t="s">
        <v>90</v>
      </c>
      <c r="AD12" s="23" t="s">
        <v>91</v>
      </c>
      <c r="AE12" s="23" t="s">
        <v>92</v>
      </c>
      <c r="AF12" s="23"/>
      <c r="AG12" s="23" t="s">
        <v>127</v>
      </c>
      <c r="AH12" s="23" t="s">
        <v>129</v>
      </c>
      <c r="AI12" s="23"/>
      <c r="AJ12" s="23" t="s">
        <v>132</v>
      </c>
      <c r="AK12" s="23"/>
      <c r="AL12" s="23"/>
      <c r="AM12" s="23"/>
      <c r="AN12" s="23"/>
      <c r="AO12" s="23"/>
      <c r="AP12" s="23"/>
      <c r="AQ12" s="23"/>
      <c r="AR12" s="23" t="str">
        <f ca="1">CELL("filename",'Consortium 4'!$A$1)</f>
        <v>\\files.cornell.edu\RS\RAIS\OSP-PRO\Intake\######_LastName_YYYY_Sponsor_Program_w_LEAD\01_Budget_Drafts\[######_LastName_Budget_v1.xlsx]Consortium 4</v>
      </c>
    </row>
    <row r="13" spans="1:56" x14ac:dyDescent="0.25">
      <c r="A13" s="23"/>
      <c r="B13" s="191"/>
      <c r="G13" s="23"/>
      <c r="L13" s="425"/>
      <c r="M13" s="425"/>
      <c r="R13" s="25"/>
      <c r="S13" s="25"/>
      <c r="T13" s="25"/>
      <c r="U13" s="26"/>
      <c r="V13" s="26"/>
      <c r="W13" s="26"/>
      <c r="AC13" s="23" t="s">
        <v>93</v>
      </c>
      <c r="AD13" s="23" t="s">
        <v>94</v>
      </c>
      <c r="AE13" s="23" t="s">
        <v>95</v>
      </c>
      <c r="AF13" s="23"/>
      <c r="AG13" s="23" t="s">
        <v>128</v>
      </c>
      <c r="AH13" s="23" t="s">
        <v>29</v>
      </c>
      <c r="AI13" s="23"/>
      <c r="AJ13" s="23" t="s">
        <v>131</v>
      </c>
      <c r="AK13" s="23"/>
      <c r="AL13" s="23"/>
      <c r="AM13" s="23"/>
      <c r="AN13" s="23"/>
      <c r="AO13" s="23"/>
      <c r="AP13" s="23"/>
    </row>
    <row r="14" spans="1:56" x14ac:dyDescent="0.25">
      <c r="A14" s="141" t="str">
        <f t="shared" ref="A14:A19" ca="1" si="15">""&amp;MID(AR2,FIND("]",AR2)+1,25)</f>
        <v>Lead Budget</v>
      </c>
      <c r="B14" s="306" t="s">
        <v>65</v>
      </c>
      <c r="D14" s="53"/>
      <c r="E14" s="53"/>
      <c r="L14" s="425"/>
      <c r="M14" s="425"/>
      <c r="R14" s="25"/>
      <c r="S14" s="25"/>
      <c r="T14" s="25"/>
    </row>
    <row r="15" spans="1:56" x14ac:dyDescent="0.25">
      <c r="A15" s="136" t="str">
        <f t="shared" ca="1" si="15"/>
        <v>Co-PI Budget (1)</v>
      </c>
      <c r="B15" s="306" t="s">
        <v>57</v>
      </c>
      <c r="D15" s="53"/>
      <c r="L15" s="102" t="s">
        <v>231</v>
      </c>
      <c r="M15" s="434" t="s">
        <v>235</v>
      </c>
      <c r="N15" s="418">
        <f>(N16/12)*9</f>
        <v>166425</v>
      </c>
      <c r="P15" s="25"/>
      <c r="Q15" s="25"/>
      <c r="U15" s="26"/>
      <c r="AB15" s="23"/>
      <c r="AC15" s="23"/>
      <c r="AD15" s="23" t="s">
        <v>6</v>
      </c>
      <c r="AE15" s="23"/>
      <c r="AF15" s="23"/>
      <c r="AG15" s="23"/>
      <c r="AH15" s="23"/>
      <c r="AI15" s="23"/>
      <c r="AJ15" s="23"/>
      <c r="AK15" s="23"/>
      <c r="AL15" s="23"/>
    </row>
    <row r="16" spans="1:56" x14ac:dyDescent="0.25">
      <c r="A16" s="135" t="str">
        <f t="shared" ca="1" si="15"/>
        <v>Co-PI Budget (2)</v>
      </c>
      <c r="B16" s="306" t="s">
        <v>57</v>
      </c>
      <c r="D16" s="53"/>
      <c r="E16" s="230"/>
      <c r="L16" s="438" t="s">
        <v>217</v>
      </c>
      <c r="M16" s="434" t="s">
        <v>236</v>
      </c>
      <c r="N16" s="418">
        <v>221900</v>
      </c>
      <c r="P16" s="25"/>
      <c r="Q16" s="25"/>
      <c r="U16" s="26"/>
    </row>
    <row r="17" spans="1:42" x14ac:dyDescent="0.25">
      <c r="A17" s="137" t="str">
        <f t="shared" ca="1" si="15"/>
        <v>Co-PI Budget (3)</v>
      </c>
      <c r="B17" s="306" t="s">
        <v>57</v>
      </c>
      <c r="D17" s="53"/>
      <c r="L17" s="436" t="s">
        <v>210</v>
      </c>
      <c r="M17" s="434" t="s">
        <v>198</v>
      </c>
      <c r="N17" s="419">
        <v>61008</v>
      </c>
      <c r="P17" s="25"/>
      <c r="Q17" s="25"/>
      <c r="U17" s="26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</row>
    <row r="18" spans="1:42" x14ac:dyDescent="0.25">
      <c r="A18" s="138" t="str">
        <f t="shared" ca="1" si="15"/>
        <v>Co-PI Budget (4)</v>
      </c>
      <c r="B18" s="306" t="s">
        <v>57</v>
      </c>
      <c r="D18" s="53"/>
      <c r="L18" s="436" t="s">
        <v>230</v>
      </c>
      <c r="M18" s="434" t="s">
        <v>199</v>
      </c>
      <c r="N18" s="427">
        <v>58458</v>
      </c>
      <c r="U18" s="26"/>
    </row>
    <row r="19" spans="1:42" x14ac:dyDescent="0.25">
      <c r="A19" s="134" t="str">
        <f t="shared" ca="1" si="15"/>
        <v>Co-PI Budget (5)</v>
      </c>
      <c r="B19" s="306" t="s">
        <v>57</v>
      </c>
      <c r="D19" s="53"/>
      <c r="L19" s="436" t="s">
        <v>218</v>
      </c>
      <c r="M19" s="434" t="s">
        <v>200</v>
      </c>
      <c r="N19" s="427">
        <v>15</v>
      </c>
      <c r="V19" s="26"/>
    </row>
    <row r="20" spans="1:42" x14ac:dyDescent="0.25">
      <c r="A20" s="23"/>
      <c r="B20" s="306"/>
      <c r="D20" s="53"/>
      <c r="L20" s="436" t="s">
        <v>203</v>
      </c>
      <c r="M20" s="434" t="s">
        <v>201</v>
      </c>
      <c r="N20" s="428">
        <v>15</v>
      </c>
      <c r="V20" s="26"/>
    </row>
    <row r="21" spans="1:42" x14ac:dyDescent="0.25">
      <c r="A21" s="23"/>
      <c r="B21" s="306"/>
      <c r="D21" s="53"/>
      <c r="L21" s="436" t="s">
        <v>229</v>
      </c>
      <c r="M21" s="434" t="s">
        <v>202</v>
      </c>
      <c r="N21" s="427">
        <v>191900</v>
      </c>
      <c r="P21" s="416"/>
      <c r="V21" s="26"/>
    </row>
    <row r="22" spans="1:42" x14ac:dyDescent="0.25">
      <c r="A22" s="23"/>
      <c r="B22" s="306"/>
      <c r="D22" s="53"/>
      <c r="Q22" s="423" t="s">
        <v>209</v>
      </c>
      <c r="R22" s="424" t="s">
        <v>220</v>
      </c>
      <c r="S22" s="424"/>
      <c r="T22" s="425"/>
      <c r="V22" s="26"/>
    </row>
    <row r="23" spans="1:42" x14ac:dyDescent="0.25">
      <c r="A23" s="23"/>
      <c r="B23" s="306"/>
      <c r="D23" s="53"/>
      <c r="Q23" s="417" t="s">
        <v>206</v>
      </c>
      <c r="R23" s="425"/>
      <c r="S23" s="425"/>
      <c r="T23" s="420" t="s">
        <v>239</v>
      </c>
      <c r="V23" s="26"/>
    </row>
    <row r="24" spans="1:42" x14ac:dyDescent="0.25">
      <c r="A24" s="23"/>
      <c r="B24" s="306"/>
      <c r="D24" s="53"/>
      <c r="Q24" s="425"/>
      <c r="R24" s="426"/>
      <c r="S24" s="424"/>
      <c r="T24" s="420" t="s">
        <v>205</v>
      </c>
      <c r="V24" s="26"/>
    </row>
    <row r="25" spans="1:42" x14ac:dyDescent="0.25">
      <c r="A25" s="23"/>
      <c r="B25" s="306"/>
      <c r="D25" s="53"/>
      <c r="V25" s="26"/>
    </row>
    <row r="26" spans="1:42" ht="20.25" x14ac:dyDescent="0.3">
      <c r="O26" s="40" t="s">
        <v>237</v>
      </c>
      <c r="P26" s="27"/>
      <c r="Q26" s="28"/>
      <c r="R26" s="27"/>
      <c r="S26" s="28"/>
      <c r="T26" s="29"/>
      <c r="W26" s="26"/>
      <c r="AH26" s="23"/>
      <c r="AJ26" s="23"/>
      <c r="AK26" s="23"/>
      <c r="AL26" s="23"/>
      <c r="AM26" s="23"/>
      <c r="AN26" s="23"/>
      <c r="AO26" s="23"/>
      <c r="AP26" s="23"/>
    </row>
    <row r="27" spans="1:42" x14ac:dyDescent="0.25">
      <c r="A27" s="192" t="str">
        <f ca="1">+A14</f>
        <v>Lead Budget</v>
      </c>
      <c r="P27" s="103" t="str">
        <f t="shared" ref="P27:V27" si="16">CONCATENATE("Fall ",RIGHT(P30,4)-"1")</f>
        <v>Fall 2024</v>
      </c>
      <c r="Q27" s="103" t="str">
        <f t="shared" si="16"/>
        <v>Fall 2025</v>
      </c>
      <c r="R27" s="103" t="str">
        <f t="shared" si="16"/>
        <v>Fall 2026</v>
      </c>
      <c r="S27" s="103" t="str">
        <f t="shared" si="16"/>
        <v>Fall 2027</v>
      </c>
      <c r="T27" s="103" t="str">
        <f t="shared" si="16"/>
        <v>Fall 2028</v>
      </c>
      <c r="U27" s="103" t="str">
        <f t="shared" si="16"/>
        <v>Fall 2029</v>
      </c>
      <c r="V27" s="103" t="str">
        <f t="shared" si="16"/>
        <v>Fall 2030</v>
      </c>
      <c r="W27" s="103" t="str">
        <f t="shared" ref="W27:AA27" si="17">CONCATENATE("Fall ",RIGHT(W30,4)-"1")</f>
        <v>Fall 2031</v>
      </c>
      <c r="X27" s="103" t="str">
        <f t="shared" si="17"/>
        <v>Fall 2032</v>
      </c>
      <c r="Y27" s="103" t="str">
        <f t="shared" si="17"/>
        <v>Fall 2033</v>
      </c>
      <c r="Z27" s="103" t="str">
        <f t="shared" si="17"/>
        <v>Fall 2034</v>
      </c>
      <c r="AA27" s="103" t="str">
        <f t="shared" si="17"/>
        <v>Fall 2035</v>
      </c>
      <c r="AB27" s="103" t="str">
        <f t="shared" ref="AB27:AC27" si="18">CONCATENATE("Fall ",RIGHT(AB30,4)-"1")</f>
        <v>Fall 2036</v>
      </c>
      <c r="AC27" s="103" t="str">
        <f t="shared" si="18"/>
        <v>Fall 2037</v>
      </c>
    </row>
    <row r="28" spans="1:42" x14ac:dyDescent="0.25">
      <c r="A28" s="133" t="s">
        <v>50</v>
      </c>
      <c r="B28" s="207" t="str">
        <f>+B14</f>
        <v>PI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O28" s="25"/>
      <c r="P28" s="103" t="str">
        <f t="shared" ref="P28:V28" si="19">CONCATENATE("Spring ",RIGHT(P30,4))</f>
        <v>Spring 2025</v>
      </c>
      <c r="Q28" s="103" t="str">
        <f t="shared" si="19"/>
        <v>Spring 2026</v>
      </c>
      <c r="R28" s="103" t="str">
        <f t="shared" si="19"/>
        <v>Spring 2027</v>
      </c>
      <c r="S28" s="103" t="str">
        <f t="shared" si="19"/>
        <v>Spring 2028</v>
      </c>
      <c r="T28" s="103" t="str">
        <f t="shared" si="19"/>
        <v>Spring 2029</v>
      </c>
      <c r="U28" s="103" t="str">
        <f t="shared" si="19"/>
        <v>Spring 2030</v>
      </c>
      <c r="V28" s="103" t="str">
        <f t="shared" si="19"/>
        <v>Spring 2031</v>
      </c>
      <c r="W28" s="103" t="str">
        <f t="shared" ref="W28:AA28" si="20">CONCATENATE("Spring ",RIGHT(W30,4))</f>
        <v>Spring 2032</v>
      </c>
      <c r="X28" s="103" t="str">
        <f t="shared" si="20"/>
        <v>Spring 2033</v>
      </c>
      <c r="Y28" s="103" t="str">
        <f t="shared" si="20"/>
        <v>Spring 2034</v>
      </c>
      <c r="Z28" s="103" t="str">
        <f t="shared" si="20"/>
        <v>Spring 2035</v>
      </c>
      <c r="AA28" s="103" t="str">
        <f t="shared" si="20"/>
        <v>Spring 2036</v>
      </c>
      <c r="AB28" s="103" t="str">
        <f t="shared" ref="AB28:AC28" si="21">CONCATENATE("Spring ",RIGHT(AB30,4))</f>
        <v>Spring 2037</v>
      </c>
      <c r="AC28" s="103" t="str">
        <f t="shared" si="21"/>
        <v>Spring 2038</v>
      </c>
    </row>
    <row r="29" spans="1:42" x14ac:dyDescent="0.25">
      <c r="A29" s="133" t="s">
        <v>53</v>
      </c>
      <c r="B29" s="307" t="s">
        <v>57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O29" s="25"/>
      <c r="P29" s="103" t="str">
        <f t="shared" ref="P29:AC29" si="22">CONCATENATE("Summer ",RIGHT(P30,4))</f>
        <v>Summer 2025</v>
      </c>
      <c r="Q29" s="103" t="str">
        <f t="shared" si="22"/>
        <v>Summer 2026</v>
      </c>
      <c r="R29" s="103" t="str">
        <f t="shared" si="22"/>
        <v>Summer 2027</v>
      </c>
      <c r="S29" s="103" t="str">
        <f t="shared" si="22"/>
        <v>Summer 2028</v>
      </c>
      <c r="T29" s="103" t="str">
        <f t="shared" si="22"/>
        <v>Summer 2029</v>
      </c>
      <c r="U29" s="103" t="str">
        <f t="shared" si="22"/>
        <v>Summer 2030</v>
      </c>
      <c r="V29" s="103" t="str">
        <f t="shared" si="22"/>
        <v>Summer 2031</v>
      </c>
      <c r="W29" s="103" t="str">
        <f t="shared" si="22"/>
        <v>Summer 2032</v>
      </c>
      <c r="X29" s="103" t="str">
        <f t="shared" si="22"/>
        <v>Summer 2033</v>
      </c>
      <c r="Y29" s="103" t="str">
        <f t="shared" si="22"/>
        <v>Summer 2034</v>
      </c>
      <c r="Z29" s="103" t="str">
        <f t="shared" si="22"/>
        <v>Summer 2035</v>
      </c>
      <c r="AA29" s="103" t="str">
        <f t="shared" si="22"/>
        <v>Summer 2036</v>
      </c>
      <c r="AB29" s="103" t="str">
        <f t="shared" si="22"/>
        <v>Summer 2037</v>
      </c>
      <c r="AC29" s="103" t="str">
        <f t="shared" si="22"/>
        <v>Summer 2038</v>
      </c>
    </row>
    <row r="30" spans="1:42" x14ac:dyDescent="0.25">
      <c r="A30" s="133" t="s">
        <v>53</v>
      </c>
      <c r="B30" s="307" t="s">
        <v>57</v>
      </c>
      <c r="C30" s="143"/>
      <c r="D30" s="157"/>
      <c r="E30" s="158"/>
      <c r="F30" s="158"/>
      <c r="G30" s="159"/>
      <c r="H30" s="159"/>
      <c r="I30" s="143"/>
      <c r="J30" s="143"/>
      <c r="K30" s="143"/>
      <c r="L30" s="143"/>
      <c r="M30" s="143"/>
      <c r="O30" s="25"/>
      <c r="P30" s="113" t="str">
        <f t="shared" ref="P30:AC30" si="23">+N2</f>
        <v>FY2025</v>
      </c>
      <c r="Q30" s="113" t="str">
        <f t="shared" si="23"/>
        <v>FY2026</v>
      </c>
      <c r="R30" s="113" t="str">
        <f t="shared" si="23"/>
        <v>FY2027</v>
      </c>
      <c r="S30" s="113" t="str">
        <f t="shared" si="23"/>
        <v>FY2028</v>
      </c>
      <c r="T30" s="113" t="str">
        <f t="shared" si="23"/>
        <v>FY2029</v>
      </c>
      <c r="U30" s="113" t="str">
        <f t="shared" si="23"/>
        <v>FY2030</v>
      </c>
      <c r="V30" s="113" t="str">
        <f t="shared" si="23"/>
        <v>FY2031</v>
      </c>
      <c r="W30" s="113" t="str">
        <f t="shared" si="23"/>
        <v>FY2032</v>
      </c>
      <c r="X30" s="113" t="str">
        <f t="shared" si="23"/>
        <v>FY2033</v>
      </c>
      <c r="Y30" s="113" t="str">
        <f t="shared" si="23"/>
        <v>FY2034</v>
      </c>
      <c r="Z30" s="113" t="str">
        <f t="shared" si="23"/>
        <v>FY2035</v>
      </c>
      <c r="AA30" s="113" t="str">
        <f t="shared" si="23"/>
        <v>FY2036</v>
      </c>
      <c r="AB30" s="113" t="str">
        <f t="shared" si="23"/>
        <v>FY2037</v>
      </c>
      <c r="AC30" s="113" t="str">
        <f t="shared" si="23"/>
        <v>FY2038</v>
      </c>
      <c r="AD30" s="114" t="s">
        <v>101</v>
      </c>
    </row>
    <row r="31" spans="1:42" x14ac:dyDescent="0.25">
      <c r="A31" s="133" t="s">
        <v>113</v>
      </c>
      <c r="B31" s="308" t="s">
        <v>95</v>
      </c>
      <c r="C31" s="143"/>
      <c r="D31" s="157"/>
      <c r="E31" s="158"/>
      <c r="F31" s="158"/>
      <c r="G31" s="159"/>
      <c r="H31" s="159"/>
      <c r="I31" s="143"/>
      <c r="J31" s="143"/>
      <c r="K31" s="143"/>
      <c r="L31" s="143"/>
      <c r="M31" s="143"/>
      <c r="O31" s="30" t="s">
        <v>35</v>
      </c>
      <c r="P31" s="101">
        <v>33930</v>
      </c>
      <c r="Q31" s="101">
        <f>ROUND(P31*(1+$AD31),0)</f>
        <v>35627</v>
      </c>
      <c r="R31" s="101">
        <f t="shared" ref="R31:AC31" si="24">ROUND(Q31*(1+$AD31),0)</f>
        <v>37408</v>
      </c>
      <c r="S31" s="101">
        <f t="shared" si="24"/>
        <v>39278</v>
      </c>
      <c r="T31" s="101">
        <f t="shared" si="24"/>
        <v>41242</v>
      </c>
      <c r="U31" s="101">
        <f t="shared" si="24"/>
        <v>43304</v>
      </c>
      <c r="V31" s="101">
        <f t="shared" si="24"/>
        <v>45469</v>
      </c>
      <c r="W31" s="101">
        <f t="shared" si="24"/>
        <v>47742</v>
      </c>
      <c r="X31" s="101">
        <f t="shared" si="24"/>
        <v>50129</v>
      </c>
      <c r="Y31" s="101">
        <f t="shared" si="24"/>
        <v>52635</v>
      </c>
      <c r="Z31" s="101">
        <f t="shared" si="24"/>
        <v>55267</v>
      </c>
      <c r="AA31" s="101">
        <f t="shared" si="24"/>
        <v>58030</v>
      </c>
      <c r="AB31" s="101">
        <f t="shared" si="24"/>
        <v>60932</v>
      </c>
      <c r="AC31" s="101">
        <f t="shared" si="24"/>
        <v>63979</v>
      </c>
      <c r="AD31" s="31">
        <v>0.05</v>
      </c>
    </row>
    <row r="32" spans="1:42" x14ac:dyDescent="0.25">
      <c r="A32" s="133" t="s">
        <v>134</v>
      </c>
      <c r="B32" s="308" t="s">
        <v>132</v>
      </c>
      <c r="C32" s="143"/>
      <c r="D32" s="157"/>
      <c r="E32" s="158"/>
      <c r="F32" s="158"/>
      <c r="G32" s="159"/>
      <c r="H32" s="159"/>
      <c r="I32" s="143"/>
      <c r="J32" s="143"/>
      <c r="K32" s="143"/>
      <c r="L32" s="143"/>
      <c r="M32" s="143"/>
      <c r="O32" s="30" t="s">
        <v>145</v>
      </c>
      <c r="P32" s="101">
        <f>P31/3</f>
        <v>11310</v>
      </c>
      <c r="Q32" s="101">
        <f>ROUND(P32*(1+$AD32),0)</f>
        <v>11876</v>
      </c>
      <c r="R32" s="101">
        <f t="shared" ref="R32:AC32" si="25">ROUND(Q32*(1+$AD32),0)</f>
        <v>12470</v>
      </c>
      <c r="S32" s="101">
        <f t="shared" si="25"/>
        <v>13094</v>
      </c>
      <c r="T32" s="101">
        <f t="shared" si="25"/>
        <v>13749</v>
      </c>
      <c r="U32" s="101">
        <f t="shared" si="25"/>
        <v>14436</v>
      </c>
      <c r="V32" s="101">
        <f t="shared" si="25"/>
        <v>15158</v>
      </c>
      <c r="W32" s="101">
        <f t="shared" si="25"/>
        <v>15916</v>
      </c>
      <c r="X32" s="101">
        <f t="shared" si="25"/>
        <v>16712</v>
      </c>
      <c r="Y32" s="101">
        <f t="shared" si="25"/>
        <v>17548</v>
      </c>
      <c r="Z32" s="101">
        <f t="shared" si="25"/>
        <v>18425</v>
      </c>
      <c r="AA32" s="101">
        <f t="shared" si="25"/>
        <v>19346</v>
      </c>
      <c r="AB32" s="101">
        <f t="shared" si="25"/>
        <v>20313</v>
      </c>
      <c r="AC32" s="101">
        <f t="shared" si="25"/>
        <v>21329</v>
      </c>
      <c r="AD32" s="31">
        <v>0.05</v>
      </c>
    </row>
    <row r="33" spans="1:30" ht="15.75" customHeight="1" x14ac:dyDescent="0.25">
      <c r="A33" s="143"/>
      <c r="B33" s="309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O33" s="30" t="s">
        <v>30</v>
      </c>
      <c r="P33" s="101">
        <f>+P31+P32</f>
        <v>45240</v>
      </c>
      <c r="Q33" s="101">
        <f>+Q31+Q32</f>
        <v>47503</v>
      </c>
      <c r="R33" s="101">
        <f t="shared" ref="R33:V33" si="26">+R31+R32</f>
        <v>49878</v>
      </c>
      <c r="S33" s="101">
        <f t="shared" si="26"/>
        <v>52372</v>
      </c>
      <c r="T33" s="101">
        <f t="shared" si="26"/>
        <v>54991</v>
      </c>
      <c r="U33" s="101">
        <f t="shared" si="26"/>
        <v>57740</v>
      </c>
      <c r="V33" s="101">
        <f t="shared" si="26"/>
        <v>60627</v>
      </c>
      <c r="W33" s="101">
        <f t="shared" ref="W33:AA33" si="27">+W31+W32</f>
        <v>63658</v>
      </c>
      <c r="X33" s="101">
        <f t="shared" si="27"/>
        <v>66841</v>
      </c>
      <c r="Y33" s="101">
        <f t="shared" si="27"/>
        <v>70183</v>
      </c>
      <c r="Z33" s="101">
        <f t="shared" si="27"/>
        <v>73692</v>
      </c>
      <c r="AA33" s="101">
        <f t="shared" si="27"/>
        <v>77376</v>
      </c>
      <c r="AB33" s="101">
        <f t="shared" ref="AB33:AC33" si="28">+AB31+AB32</f>
        <v>81245</v>
      </c>
      <c r="AC33" s="101">
        <f t="shared" si="28"/>
        <v>85308</v>
      </c>
      <c r="AD33" s="31"/>
    </row>
    <row r="34" spans="1:30" x14ac:dyDescent="0.25">
      <c r="A34" s="133" t="s">
        <v>97</v>
      </c>
      <c r="B34" s="308" t="s">
        <v>95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O34" s="30" t="s">
        <v>114</v>
      </c>
      <c r="P34" s="101">
        <v>10400</v>
      </c>
      <c r="Q34" s="101">
        <v>10400</v>
      </c>
      <c r="R34" s="101">
        <f t="shared" ref="R34:AC34" si="29">ROUND(Q34*(1+$AD34),0)</f>
        <v>10400</v>
      </c>
      <c r="S34" s="101">
        <f t="shared" si="29"/>
        <v>10400</v>
      </c>
      <c r="T34" s="101">
        <f t="shared" si="29"/>
        <v>10400</v>
      </c>
      <c r="U34" s="101">
        <f t="shared" si="29"/>
        <v>10400</v>
      </c>
      <c r="V34" s="101">
        <f t="shared" si="29"/>
        <v>10400</v>
      </c>
      <c r="W34" s="101">
        <f t="shared" si="29"/>
        <v>10400</v>
      </c>
      <c r="X34" s="101">
        <f t="shared" si="29"/>
        <v>10400</v>
      </c>
      <c r="Y34" s="101">
        <f t="shared" si="29"/>
        <v>10400</v>
      </c>
      <c r="Z34" s="101">
        <f t="shared" si="29"/>
        <v>10400</v>
      </c>
      <c r="AA34" s="101">
        <f t="shared" si="29"/>
        <v>10400</v>
      </c>
      <c r="AB34" s="101">
        <f t="shared" si="29"/>
        <v>10400</v>
      </c>
      <c r="AC34" s="101">
        <f t="shared" si="29"/>
        <v>10400</v>
      </c>
      <c r="AD34" s="31">
        <v>0</v>
      </c>
    </row>
    <row r="35" spans="1:30" x14ac:dyDescent="0.25">
      <c r="A35" s="133" t="s">
        <v>98</v>
      </c>
      <c r="B35" s="308" t="s">
        <v>95</v>
      </c>
      <c r="C35" s="143"/>
      <c r="D35" s="143"/>
      <c r="E35" s="143"/>
      <c r="F35" s="143"/>
      <c r="G35" s="143"/>
      <c r="H35" s="143"/>
      <c r="I35" s="143"/>
      <c r="J35" s="159"/>
      <c r="K35" s="159"/>
      <c r="L35" s="159"/>
      <c r="M35" s="159"/>
      <c r="O35" s="30" t="s">
        <v>115</v>
      </c>
      <c r="P35" s="101">
        <v>10400</v>
      </c>
      <c r="Q35" s="101">
        <v>10400</v>
      </c>
      <c r="R35" s="101">
        <v>10400</v>
      </c>
      <c r="S35" s="101">
        <f t="shared" ref="S35:AC35" si="30">ROUND(R35*(1+$AD35),0)</f>
        <v>10400</v>
      </c>
      <c r="T35" s="101">
        <f t="shared" si="30"/>
        <v>10400</v>
      </c>
      <c r="U35" s="101">
        <f t="shared" si="30"/>
        <v>10400</v>
      </c>
      <c r="V35" s="101">
        <f t="shared" si="30"/>
        <v>10400</v>
      </c>
      <c r="W35" s="101">
        <f t="shared" si="30"/>
        <v>10400</v>
      </c>
      <c r="X35" s="101">
        <f t="shared" si="30"/>
        <v>10400</v>
      </c>
      <c r="Y35" s="101">
        <f t="shared" si="30"/>
        <v>10400</v>
      </c>
      <c r="Z35" s="101">
        <f t="shared" si="30"/>
        <v>10400</v>
      </c>
      <c r="AA35" s="101">
        <f t="shared" si="30"/>
        <v>10400</v>
      </c>
      <c r="AB35" s="101">
        <f t="shared" si="30"/>
        <v>10400</v>
      </c>
      <c r="AC35" s="101">
        <f t="shared" si="30"/>
        <v>10400</v>
      </c>
      <c r="AD35" s="31">
        <v>0</v>
      </c>
    </row>
    <row r="36" spans="1:30" x14ac:dyDescent="0.25">
      <c r="A36" s="143"/>
      <c r="B36" s="143"/>
      <c r="C36" s="143"/>
      <c r="D36" s="143"/>
      <c r="E36" s="143"/>
      <c r="F36" s="143"/>
      <c r="G36" s="143"/>
      <c r="H36" s="143"/>
      <c r="I36" s="143"/>
      <c r="J36" s="159"/>
      <c r="K36" s="159"/>
      <c r="L36" s="159"/>
      <c r="M36" s="159"/>
      <c r="O36" s="30" t="s">
        <v>24</v>
      </c>
      <c r="P36" s="101">
        <f>3828+550</f>
        <v>4378</v>
      </c>
      <c r="Q36" s="101">
        <f>ROUND(P36*(1+$AD36),0)</f>
        <v>4816</v>
      </c>
      <c r="R36" s="101">
        <f t="shared" ref="R36:AC36" si="31">ROUND(Q36*(1+$AD36),0)</f>
        <v>5298</v>
      </c>
      <c r="S36" s="101">
        <f t="shared" si="31"/>
        <v>5828</v>
      </c>
      <c r="T36" s="101">
        <f t="shared" si="31"/>
        <v>6411</v>
      </c>
      <c r="U36" s="101">
        <f t="shared" si="31"/>
        <v>7052</v>
      </c>
      <c r="V36" s="101">
        <f t="shared" si="31"/>
        <v>7757</v>
      </c>
      <c r="W36" s="101">
        <f t="shared" si="31"/>
        <v>8533</v>
      </c>
      <c r="X36" s="101">
        <f t="shared" si="31"/>
        <v>9386</v>
      </c>
      <c r="Y36" s="101">
        <f t="shared" si="31"/>
        <v>10325</v>
      </c>
      <c r="Z36" s="101">
        <f t="shared" si="31"/>
        <v>11358</v>
      </c>
      <c r="AA36" s="101">
        <f t="shared" si="31"/>
        <v>12494</v>
      </c>
      <c r="AB36" s="101">
        <f t="shared" si="31"/>
        <v>13743</v>
      </c>
      <c r="AC36" s="101">
        <f t="shared" si="31"/>
        <v>15117</v>
      </c>
      <c r="AD36" s="31">
        <v>0.1</v>
      </c>
    </row>
    <row r="37" spans="1:30" x14ac:dyDescent="0.25">
      <c r="A37" s="133" t="s">
        <v>100</v>
      </c>
      <c r="B37" s="160" t="str">
        <f>+AE4</f>
        <v>FY2025</v>
      </c>
      <c r="C37" s="160" t="str">
        <f>+AF4</f>
        <v>FY2026</v>
      </c>
      <c r="D37" s="160" t="str">
        <f>+AG4</f>
        <v>FY2027</v>
      </c>
      <c r="E37" s="160" t="str">
        <f>+AH4</f>
        <v>FY2028</v>
      </c>
      <c r="F37" s="160" t="str">
        <f>+AI4</f>
        <v>FY2029</v>
      </c>
      <c r="G37" s="160" t="str">
        <f>CONCATENATE("FY",$AD$3+5)</f>
        <v>FY2030</v>
      </c>
      <c r="H37" s="160" t="str">
        <f>CONCATENATE("FY",$AD$3+6)</f>
        <v>FY2031</v>
      </c>
      <c r="I37" s="160" t="str">
        <f>CONCATENATE("FY",$AD$3+7)</f>
        <v>FY2032</v>
      </c>
      <c r="J37" s="160" t="str">
        <f>CONCATENATE("FY",$AD$3+8)</f>
        <v>FY2033</v>
      </c>
      <c r="K37" s="160" t="str">
        <f>CONCATENATE("FY",$AD$3+9)</f>
        <v>FY2034</v>
      </c>
      <c r="L37" s="160" t="str">
        <f>CONCATENATE("FY",$AD$3+10)</f>
        <v>FY2035</v>
      </c>
      <c r="M37" s="160" t="str">
        <f>CONCATENATE("FY",$AD$3+11)</f>
        <v>FY2036</v>
      </c>
      <c r="S37" s="425"/>
      <c r="T37" s="425"/>
      <c r="U37" s="425"/>
      <c r="V37" s="425"/>
      <c r="W37" s="425"/>
    </row>
    <row r="38" spans="1:30" x14ac:dyDescent="0.25">
      <c r="A38" s="133" t="str">
        <f>IF(AND(B31="Contract College",B$6="Federal"),"   Contract (Federal) - Senior Personnel",IF(AND(B31="Contract College",B$6="Non-federal"),"   Contract (Non-federal) - Senior Personnel","   Endowed - Senior Personnel"))</f>
        <v xml:space="preserve">   Endowed - Senior Personnel</v>
      </c>
      <c r="B38" s="392">
        <f t="shared" ref="B38:M38" si="32">IF(AND($B31="Contract College",$B$6="Federal"),HLOOKUP(B37,FringeAndIDCRates,2,FALSE),IF(AND($B$31="Contract College",$B$6="Non-Federal"),HLOOKUP(B37,FringeAndIDCRates,3,FALSE),HLOOKUP(B37,FringeAndIDCRates,4,FALSE)))</f>
        <v>0.35</v>
      </c>
      <c r="C38" s="392">
        <f t="shared" si="32"/>
        <v>0.35</v>
      </c>
      <c r="D38" s="392">
        <f t="shared" si="32"/>
        <v>0.35499999999999998</v>
      </c>
      <c r="E38" s="392">
        <f t="shared" si="32"/>
        <v>0.37</v>
      </c>
      <c r="F38" s="392">
        <f t="shared" si="32"/>
        <v>0.37</v>
      </c>
      <c r="G38" s="392">
        <f t="shared" si="32"/>
        <v>0.37</v>
      </c>
      <c r="H38" s="392">
        <f t="shared" si="32"/>
        <v>0.37</v>
      </c>
      <c r="I38" s="392">
        <f t="shared" si="32"/>
        <v>0.37</v>
      </c>
      <c r="J38" s="392">
        <f t="shared" si="32"/>
        <v>0.37</v>
      </c>
      <c r="K38" s="392">
        <f t="shared" si="32"/>
        <v>0.37</v>
      </c>
      <c r="L38" s="392">
        <f t="shared" si="32"/>
        <v>0.37</v>
      </c>
      <c r="M38" s="392">
        <f t="shared" si="32"/>
        <v>0.37</v>
      </c>
      <c r="S38" s="425"/>
      <c r="T38" s="425"/>
      <c r="U38" s="425"/>
      <c r="V38" s="425"/>
      <c r="W38" s="424" t="s">
        <v>207</v>
      </c>
    </row>
    <row r="39" spans="1:30" x14ac:dyDescent="0.25">
      <c r="A39" s="133" t="str">
        <f>IF(AND(B$6="Federal",B34="Contract College"),"   Contract (Federal) - Post Doc",IF(AND(B$6="Non-federal",B34="Contract College"),"   Contract (Non-federal) - Post Doc","   Endowed - Post Doc"))</f>
        <v xml:space="preserve">   Endowed - Post Doc</v>
      </c>
      <c r="B39" s="392">
        <f t="shared" ref="B39:M39" si="33">IF($B34="Endowed College",HLOOKUP(B$37,FringeAndIDCRates,4,FALSE),IF($B$6="Federal",HLOOKUP(B$37,FringeAndIDCRates,2,FALSE),IF($B$6="Non-Federal",HLOOKUP(B$37,FringeAndIDCRates,3,FALSE))))</f>
        <v>0.35</v>
      </c>
      <c r="C39" s="392">
        <f t="shared" si="33"/>
        <v>0.35</v>
      </c>
      <c r="D39" s="392">
        <f t="shared" si="33"/>
        <v>0.35499999999999998</v>
      </c>
      <c r="E39" s="392">
        <f t="shared" si="33"/>
        <v>0.37</v>
      </c>
      <c r="F39" s="392">
        <f t="shared" si="33"/>
        <v>0.37</v>
      </c>
      <c r="G39" s="392">
        <f t="shared" si="33"/>
        <v>0.37</v>
      </c>
      <c r="H39" s="392">
        <f t="shared" si="33"/>
        <v>0.37</v>
      </c>
      <c r="I39" s="392">
        <f t="shared" si="33"/>
        <v>0.37</v>
      </c>
      <c r="J39" s="392">
        <f t="shared" si="33"/>
        <v>0.37</v>
      </c>
      <c r="K39" s="392">
        <f t="shared" si="33"/>
        <v>0.37</v>
      </c>
      <c r="L39" s="392">
        <f t="shared" si="33"/>
        <v>0.37</v>
      </c>
      <c r="M39" s="392">
        <f t="shared" si="33"/>
        <v>0.37</v>
      </c>
      <c r="S39" s="425"/>
      <c r="T39" s="425"/>
      <c r="U39" s="425"/>
      <c r="V39" s="425"/>
      <c r="W39" s="424" t="s">
        <v>208</v>
      </c>
    </row>
    <row r="40" spans="1:30" x14ac:dyDescent="0.25">
      <c r="A40" s="133" t="str">
        <f>IF(AND(B$6="Federal",B35="Contract College"),"   Contract (Federal) - Other Employee",IF(AND(B$6="Non-federal",B35="Contract College"),"   Contract (Non-federal) - Other Empolyee","   Endowed - Other Employee"))</f>
        <v xml:space="preserve">   Endowed - Other Employee</v>
      </c>
      <c r="B40" s="392">
        <f t="shared" ref="B40:M40" si="34">IF($B35="Endowed College",HLOOKUP(B$37,FringeAndIDCRates,4,FALSE),IF($B$6="Federal",HLOOKUP(B$37,FringeAndIDCRates,2,FALSE),IF($B$6="Non-Federal",HLOOKUP(B$37,FringeAndIDCRates,3,FALSE))))</f>
        <v>0.35</v>
      </c>
      <c r="C40" s="392">
        <f t="shared" si="34"/>
        <v>0.35</v>
      </c>
      <c r="D40" s="392">
        <f t="shared" si="34"/>
        <v>0.35499999999999998</v>
      </c>
      <c r="E40" s="392">
        <f t="shared" si="34"/>
        <v>0.37</v>
      </c>
      <c r="F40" s="392">
        <f t="shared" si="34"/>
        <v>0.37</v>
      </c>
      <c r="G40" s="392">
        <f t="shared" si="34"/>
        <v>0.37</v>
      </c>
      <c r="H40" s="392">
        <f t="shared" si="34"/>
        <v>0.37</v>
      </c>
      <c r="I40" s="392">
        <f t="shared" si="34"/>
        <v>0.37</v>
      </c>
      <c r="J40" s="392">
        <f t="shared" si="34"/>
        <v>0.37</v>
      </c>
      <c r="K40" s="392">
        <f t="shared" si="34"/>
        <v>0.37</v>
      </c>
      <c r="L40" s="392">
        <f t="shared" si="34"/>
        <v>0.37</v>
      </c>
      <c r="M40" s="392">
        <f t="shared" si="34"/>
        <v>0.37</v>
      </c>
      <c r="O40" s="447" t="s">
        <v>107</v>
      </c>
      <c r="P40" s="24" t="s">
        <v>36</v>
      </c>
      <c r="Q40" s="24" t="s">
        <v>52</v>
      </c>
      <c r="R40" s="23"/>
    </row>
    <row r="41" spans="1:30" x14ac:dyDescent="0.25">
      <c r="A41" s="133" t="str">
        <f>CONCATENATE("Cornell IDC Rate - ",B31)</f>
        <v>Cornell IDC Rate - Endowed College</v>
      </c>
      <c r="B41" s="392">
        <f t="shared" ref="B41:M41" si="35">IF($B32="Off",(HLOOKUP(B$37,FringeAndIDCRates,8,FALSE)),IF(AND($B$7="Other",$B32="On"),(HLOOKUP(B$37,FringeAndIDCRates,7,FALSE)),IF(AND($B32="On",$B31="Contract College",$B$7="Research"),(HLOOKUP(B$37,FringeAndIDCRates,5,FALSE)),(HLOOKUP(B$37,FringeAndIDCRates,6,FALSE)))))</f>
        <v>0.64</v>
      </c>
      <c r="C41" s="392">
        <f t="shared" si="35"/>
        <v>0.64</v>
      </c>
      <c r="D41" s="392">
        <f t="shared" si="35"/>
        <v>0.64</v>
      </c>
      <c r="E41" s="392">
        <f t="shared" si="35"/>
        <v>0.64</v>
      </c>
      <c r="F41" s="392">
        <f t="shared" si="35"/>
        <v>0.64</v>
      </c>
      <c r="G41" s="392">
        <f t="shared" si="35"/>
        <v>0.64</v>
      </c>
      <c r="H41" s="392">
        <f t="shared" si="35"/>
        <v>0.64</v>
      </c>
      <c r="I41" s="392">
        <f t="shared" si="35"/>
        <v>0.64</v>
      </c>
      <c r="J41" s="392">
        <f t="shared" si="35"/>
        <v>0.64</v>
      </c>
      <c r="K41" s="392">
        <f t="shared" si="35"/>
        <v>0.64</v>
      </c>
      <c r="L41" s="392">
        <f t="shared" si="35"/>
        <v>0.64</v>
      </c>
      <c r="M41" s="392">
        <f t="shared" si="35"/>
        <v>0.64</v>
      </c>
      <c r="O41" s="41" t="s">
        <v>46</v>
      </c>
      <c r="P41" s="33">
        <f>DATEDIF(B5,(DATE((YEAR(DATE(YEAR(B5),MONTH(B5)+6,1))),6,30)),"m")+1</f>
        <v>6</v>
      </c>
      <c r="Q41" s="415">
        <f>+P41/O43</f>
        <v>0.5</v>
      </c>
      <c r="R41" s="23"/>
    </row>
    <row r="42" spans="1:30" x14ac:dyDescent="0.25">
      <c r="A42" s="133" t="str">
        <f>IF($B$8="Yes","","Rate Allowed by Sponsor:")</f>
        <v/>
      </c>
      <c r="B42" s="160" t="str">
        <f t="shared" ref="B42:M42" si="36">IF($B$8="Yes","",IF($B$8="No",HLOOKUP(B$37,FringeAndIDCRates,9,FALSE),(HLOOKUP(B$37,FringeAndIDCRates,9,FALSE))))</f>
        <v/>
      </c>
      <c r="C42" s="160" t="str">
        <f t="shared" si="36"/>
        <v/>
      </c>
      <c r="D42" s="160" t="str">
        <f t="shared" si="36"/>
        <v/>
      </c>
      <c r="E42" s="160" t="str">
        <f t="shared" si="36"/>
        <v/>
      </c>
      <c r="F42" s="160" t="str">
        <f t="shared" si="36"/>
        <v/>
      </c>
      <c r="G42" s="160" t="str">
        <f t="shared" si="36"/>
        <v/>
      </c>
      <c r="H42" s="160" t="str">
        <f t="shared" si="36"/>
        <v/>
      </c>
      <c r="I42" s="160" t="str">
        <f t="shared" si="36"/>
        <v/>
      </c>
      <c r="J42" s="160" t="str">
        <f t="shared" si="36"/>
        <v/>
      </c>
      <c r="K42" s="160" t="str">
        <f t="shared" si="36"/>
        <v/>
      </c>
      <c r="L42" s="160" t="str">
        <f t="shared" si="36"/>
        <v/>
      </c>
      <c r="M42" s="160" t="str">
        <f t="shared" si="36"/>
        <v/>
      </c>
      <c r="O42" s="41" t="s">
        <v>47</v>
      </c>
      <c r="P42" s="33">
        <f>12-P41</f>
        <v>6</v>
      </c>
      <c r="Q42" s="415">
        <f>+P42/O43</f>
        <v>0.5</v>
      </c>
      <c r="R42" s="23"/>
    </row>
    <row r="43" spans="1:30" x14ac:dyDescent="0.25">
      <c r="B43" t="s">
        <v>221</v>
      </c>
      <c r="C43" s="53"/>
      <c r="D43" s="53"/>
      <c r="E43" s="53"/>
      <c r="F43" s="53"/>
      <c r="G43" s="53"/>
      <c r="O43" s="25">
        <f>SUM(P41:P42)</f>
        <v>12</v>
      </c>
      <c r="P43" s="25" t="s">
        <v>83</v>
      </c>
    </row>
    <row r="44" spans="1:30" ht="20.25" x14ac:dyDescent="0.3">
      <c r="A44" s="40" t="s">
        <v>55</v>
      </c>
      <c r="C44" s="104"/>
      <c r="D44" s="104"/>
      <c r="E44" s="104"/>
      <c r="F44" s="104"/>
      <c r="G44" s="104"/>
      <c r="H44" s="104"/>
    </row>
    <row r="45" spans="1:30" ht="15.75" x14ac:dyDescent="0.25">
      <c r="A45" s="105" t="s">
        <v>87</v>
      </c>
      <c r="B45" s="106" t="str">
        <f>IF(B48=$AE$5,$AE$8,IF(B48=$AF$5,$AF$8,IF(B48=$AG$5,$AG$8,IF(B48=$AH$5,$AH$8,IF(B48=$AI$5,$AI$8,IF(B48=$AJ$5,$AJ$8,IF(B48=$AK$5,$AK$8,IF(B48=$AL$5,$AL$8,IF(B48=$AM$5,$AM$8,IF(B48=$AN$5,$AN$8,IF(B48=$AO$5,$AO$8,IF(B48=$AP$5,$AP$8," "))))))))))))</f>
        <v xml:space="preserve"> </v>
      </c>
      <c r="C45" s="106" t="str">
        <f t="shared" ref="C45:M45" si="37">IF(C48=$AE$5,$AE$8,IF(C48=$AF$5,$AF$8,IF(C48=$AG$5,$AG$8,IF(C48=$AH$5,$AH$8,IF(C48=$AI$5,$AI$8,IF(C48=$AJ$5,$AJ$8,IF(C48=$AK$5,$AK$8,IF(C48=$AL$5,$AL$8,IF(C48=$AM$5,$AM$8,IF(C48=$AN$5,$AN$8,IF(C48=$AO$5,$AO$8,IF(C48=$AP$5,$AP$8," "))))))))))))</f>
        <v>2025-2025</v>
      </c>
      <c r="D45" s="106" t="str">
        <f t="shared" si="37"/>
        <v>2026-2026</v>
      </c>
      <c r="E45" s="106" t="str">
        <f t="shared" si="37"/>
        <v>2027-2027</v>
      </c>
      <c r="F45" s="106" t="str">
        <f t="shared" si="37"/>
        <v>2028-2028</v>
      </c>
      <c r="G45" s="106" t="str">
        <f t="shared" si="37"/>
        <v>2029-2029</v>
      </c>
      <c r="H45" s="106" t="str">
        <f t="shared" si="37"/>
        <v>2030-2030</v>
      </c>
      <c r="I45" s="106" t="str">
        <f t="shared" si="37"/>
        <v>2031-2031</v>
      </c>
      <c r="J45" s="106" t="str">
        <f t="shared" si="37"/>
        <v>2032-2032</v>
      </c>
      <c r="K45" s="106" t="str">
        <f t="shared" si="37"/>
        <v>2033-2033</v>
      </c>
      <c r="L45" s="106" t="str">
        <f t="shared" si="37"/>
        <v>2034-2034</v>
      </c>
      <c r="M45" s="106" t="str">
        <f t="shared" si="37"/>
        <v>2035-2035</v>
      </c>
      <c r="N45" s="106" t="str">
        <f t="shared" ref="N45" si="38">IF(N48=$AE$5,$AE$8,IF(N48=$AF$5,$AF$8,IF(N48=$AG$5,$AG$8,IF(N48=$AH$5,$AH$8,IF(N48=$AI$5,$AI$8,IF(N48=$AJ$5,$AJ$8,IF(N48=$AK$5,$AK$8,IF(N48=$AL$5,$AL$8,IF(N48=$AM$5,$AM$8,IF(N48=$AN$5,$AN$8,IF(N48=$AO$5,$AO$8,IF(N48=$AP$5,$AP$8," "))))))))))))</f>
        <v>2036-2036</v>
      </c>
    </row>
    <row r="47" spans="1:30" x14ac:dyDescent="0.25">
      <c r="A47" s="139" t="str">
        <f>CONCATENATE("Calculation based on ",O49," month salary")</f>
        <v>Calculation based on 9 month salary</v>
      </c>
      <c r="B47" s="104" t="str">
        <f t="shared" ref="B47:L47" si="39">IF(AND(B48=$AE$5,$O49=9),$AE$3,IF(AND(B48=$AF$5,$O49=9),$AF$3,IF(AND(B48=$AG$5,$O49=9),$AG$3,IF(AND(B48=$AH$5,$O49=9),$AH$3,IF(AND(B48=$AI$5,$O49=9),$AI$3,IF(AND(B48=$AJ$5,$O49=9),$AJ$3,IF(AND(B48=$AK$5,$O49=9),$AK$3,IF(AND(B48=$AL$5,$O49=9),$AL$3,IF(AND(B48=$AM$5,$O49=9),$AM$3,IF(AND(B48=$AN$5,$O49=9),$AN$3,IF(AND(B48=$AO$5,$O49=9),$AO$3,IF(AND(B48=$AP$5,$O49=9),$AJ$3,IF(AND(B48=$AE$4,$O49=12),$AE$3,IF(AND(B48=$AF$4,$O49=12),$AF$3,IF(AND(B48=$AG$4,$O49=12),$AG$3,IF(AND(B48=$AH$4,$O49=12),$AH$3,IF(AND(B48=$AI$4,$O49=12),$AI$3,IF(AND(B48=$AJ$4,$O49=12),$AJ$3,IF(AND(B48=$AK$4,$O49=12),$AK$3,IF(AND(B48=$AL$4,$O49=12),$AL$3,IF(AND(B48=$AM$4,$O49=12),$AM$3,IF(AND(B48=$AN$4,$O49=12),$AN$3,IF(AND(B48=$AO$4,$O49=12),$AO$3,IF(AND(B48=$AP$4,$O49=12),$AJ$3," "))))))))))))))))))))))))</f>
        <v xml:space="preserve"> </v>
      </c>
      <c r="C47" s="104" t="str">
        <f t="shared" si="39"/>
        <v>Year 1</v>
      </c>
      <c r="D47" s="104" t="str">
        <f t="shared" si="39"/>
        <v>Year 2</v>
      </c>
      <c r="E47" s="104" t="str">
        <f t="shared" si="39"/>
        <v>Year 3</v>
      </c>
      <c r="F47" s="104" t="str">
        <f t="shared" si="39"/>
        <v>Year 4</v>
      </c>
      <c r="G47" s="104" t="str">
        <f t="shared" si="39"/>
        <v>Year 5</v>
      </c>
      <c r="H47" s="104" t="str">
        <f t="shared" si="39"/>
        <v>Year 6</v>
      </c>
      <c r="I47" s="104" t="str">
        <f t="shared" si="39"/>
        <v>Year 7</v>
      </c>
      <c r="J47" s="104" t="str">
        <f t="shared" si="39"/>
        <v>Year 8</v>
      </c>
      <c r="K47" s="104" t="str">
        <f t="shared" si="39"/>
        <v>Year 9</v>
      </c>
      <c r="L47" s="104" t="str">
        <f t="shared" si="39"/>
        <v>Year 10</v>
      </c>
      <c r="M47" s="104" t="str">
        <f>IF(AND(M48=$AE$5,$O49=9),$AE$3,IF(AND(M48=$AF$5,$O49=9),$AF$3,IF(AND(M48=$AG$5,$O49=9),$AG$3,IF(AND(M48=$AH$5,$O49=9),$AH$3,IF(AND(M48=$AI$5,$O49=9),$AI$3,IF(AND(M48=$AJ$5,$O49=9),$AJ$3,IF(AND(M48=$AK$5,$O49=9),$AK$3,IF(AND(M48=$AL$5,$O49=9),$AL$3,IF(AND(M48=$AM$5,$O49=9),$AM$3,IF(AND(M48=$AN$5,$O49=9),$AN$3,IF(AND(M48=$AO$5,$O49=9),$AO$3,IF(AND(M48=$AP$5,$O49=9),$AP$3,IF(AND(M48=$AQ$5,$O49=9),$AJ$3,IF(AND(M48=$AE$4,$O49=12),$AE$3,IF(AND(M48=$AF$4,$O49=12),$AF$3,IF(AND(M48=$AG$4,$O49=12),$AG$3,IF(AND(M48=$AH$4,$O49=12),$AH$3,IF(AND(M48=$AI$4,$O49=12),$AI$3,IF(AND(M48=$AJ$4,$O49=12),$AJ$3,IF(AND(M48=$AK$4,$O49=12),$AK$3,IF(AND(M48=$AL$4,$O49=12),$AL$3,IF(AND(M48=$AM$4,$O49=12),$AM$3,IF(AND(M48=$AN$4,$O49=12),$AN$3,IF(AND(M48=$AO$4,$O49=12),$AO$3,IF(AND(M48=$AP$4,$O49=12),$AP$3,IF(AND(M48=$AQ$4,$O49=12),$AJ$3," "))))))))))))))))))))))))))</f>
        <v>Year 11</v>
      </c>
      <c r="N47" s="104" t="str">
        <f>IF(AND(N48=$AE$5,$O49=9),$AE$3,IF(AND(N48=$AF$5,$O49=9),$AF$3,IF(AND(N48=$AG$5,$O49=9),$AG$3,IF(AND(N48=$AH$5,$O49=9),$AH$3,IF(AND(N48=$AI$5,$O49=9),$AI$3,IF(AND(N48=$AJ$5,$O49=9),$AJ$3,IF(AND(N48=$AK$5,$O49=9),$AK$3,IF(AND(N48=$AL$5,$O49=9),$AL$3,IF(AND(N48=$AM$5,$O49=9),$AM$3,IF(AND(N48=$AN$5,$O49=9),$AN$3,IF(AND(N48=$AO$5,$O49=9),$AO$3,IF(AND(N48=$AP$5,$O49=9),$AP$3,IF(AND(N48=$AQ$5,$O49=9),$AJ$3,IF(AND(N48=$AE$4,$O49=12),$AE$3,IF(AND(N48=$AF$4,$O49=12),$AF$3,IF(AND(N48=$AG$4,$O49=12),$AG$3,IF(AND(N48=$AH$4,$O49=12),$AH$3,IF(AND(N48=$AI$4,$O49=12),$AI$3,IF(AND(N48=$AJ$4,$O49=12),$AJ$3,IF(AND(N48=$AK$4,$O49=12),$AK$3,IF(AND(N48=$AL$4,$O49=12),$AL$3,IF(AND(N48=$AM$4,$O49=12),$AM$3,IF(AND(N48=$AN$4,$O49=12),$AN$3,IF(AND(N48=$AO$4,$O49=12),$AO$3,IF(AND(N48=$AP$4,$O49=12),$AP$3,IF(AND(N48=$AQ$4,$O49=12),$AJ$3," "))))))))))))))))))))))))))</f>
        <v>Year 12</v>
      </c>
    </row>
    <row r="48" spans="1:30" x14ac:dyDescent="0.25">
      <c r="A48" s="140" t="str">
        <f>+B28</f>
        <v>PI</v>
      </c>
      <c r="B48" s="55" t="str">
        <f t="shared" ref="B48:I48" si="40">+N$2</f>
        <v>FY2025</v>
      </c>
      <c r="C48" s="55" t="str">
        <f t="shared" si="40"/>
        <v>FY2026</v>
      </c>
      <c r="D48" s="55" t="str">
        <f t="shared" si="40"/>
        <v>FY2027</v>
      </c>
      <c r="E48" s="55" t="str">
        <f t="shared" si="40"/>
        <v>FY2028</v>
      </c>
      <c r="F48" s="55" t="str">
        <f t="shared" si="40"/>
        <v>FY2029</v>
      </c>
      <c r="G48" s="55" t="str">
        <f t="shared" si="40"/>
        <v>FY2030</v>
      </c>
      <c r="H48" s="55" t="str">
        <f t="shared" si="40"/>
        <v>FY2031</v>
      </c>
      <c r="I48" s="55" t="str">
        <f t="shared" si="40"/>
        <v>FY2032</v>
      </c>
      <c r="J48" s="55" t="str">
        <f t="shared" ref="J48" si="41">+V$2</f>
        <v>FY2033</v>
      </c>
      <c r="K48" s="55" t="str">
        <f t="shared" ref="K48" si="42">+W$2</f>
        <v>FY2034</v>
      </c>
      <c r="L48" s="55" t="str">
        <f t="shared" ref="L48:N48" si="43">+X$2</f>
        <v>FY2035</v>
      </c>
      <c r="M48" s="55" t="str">
        <f t="shared" si="43"/>
        <v>FY2036</v>
      </c>
      <c r="N48" s="55" t="str">
        <f t="shared" si="43"/>
        <v>FY2037</v>
      </c>
      <c r="O48" s="32" t="s">
        <v>20</v>
      </c>
      <c r="P48" s="89"/>
      <c r="Q48" s="89"/>
    </row>
    <row r="49" spans="1:26" x14ac:dyDescent="0.25">
      <c r="A49" s="141" t="str">
        <f>CONCATENATE("Base Salary: ",O49," month term")</f>
        <v>Base Salary: 9 month term</v>
      </c>
      <c r="B49" s="383">
        <v>100</v>
      </c>
      <c r="C49" s="384">
        <f t="shared" ref="C49:N49" si="44">ROUND(+B49*(1+(HLOOKUP(C48,FringeAndIDCRates,10,FALSE))),0)</f>
        <v>104</v>
      </c>
      <c r="D49" s="384">
        <f t="shared" si="44"/>
        <v>108</v>
      </c>
      <c r="E49" s="384">
        <f t="shared" si="44"/>
        <v>112</v>
      </c>
      <c r="F49" s="384">
        <f t="shared" si="44"/>
        <v>116</v>
      </c>
      <c r="G49" s="384">
        <f t="shared" si="44"/>
        <v>120</v>
      </c>
      <c r="H49" s="384">
        <f t="shared" si="44"/>
        <v>124</v>
      </c>
      <c r="I49" s="384">
        <f t="shared" si="44"/>
        <v>128</v>
      </c>
      <c r="J49" s="384">
        <f t="shared" si="44"/>
        <v>132</v>
      </c>
      <c r="K49" s="384">
        <f t="shared" si="44"/>
        <v>136</v>
      </c>
      <c r="L49" s="384">
        <f t="shared" si="44"/>
        <v>140</v>
      </c>
      <c r="M49" s="384">
        <f t="shared" si="44"/>
        <v>145</v>
      </c>
      <c r="N49" s="384">
        <f t="shared" si="44"/>
        <v>150</v>
      </c>
      <c r="O49" s="310">
        <v>9</v>
      </c>
      <c r="P49" s="311"/>
      <c r="Q49" s="52"/>
    </row>
    <row r="50" spans="1:26" x14ac:dyDescent="0.25">
      <c r="A50" s="141" t="s">
        <v>44</v>
      </c>
      <c r="B50" s="312">
        <v>0</v>
      </c>
      <c r="C50" s="312">
        <v>0</v>
      </c>
      <c r="D50" s="312">
        <v>0</v>
      </c>
      <c r="E50" s="312">
        <v>0</v>
      </c>
      <c r="F50" s="312">
        <v>0</v>
      </c>
      <c r="G50" s="312">
        <v>0</v>
      </c>
      <c r="H50" s="312">
        <v>0</v>
      </c>
      <c r="I50" s="312">
        <v>0</v>
      </c>
      <c r="J50" s="312">
        <v>0</v>
      </c>
      <c r="K50" s="312">
        <v>0</v>
      </c>
      <c r="L50" s="312">
        <v>0</v>
      </c>
      <c r="M50" s="312">
        <v>0</v>
      </c>
      <c r="N50" s="312">
        <v>0</v>
      </c>
      <c r="O50" s="25"/>
      <c r="P50" s="25"/>
      <c r="Q50" s="25"/>
    </row>
    <row r="51" spans="1:26" x14ac:dyDescent="0.25">
      <c r="A51" s="141" t="str">
        <f>CONCATENATE("FTE for ",O49," Months")</f>
        <v>FTE for 9 Months</v>
      </c>
      <c r="B51" s="393">
        <f t="shared" ref="B51:M51" si="45">+B50/$O49</f>
        <v>0</v>
      </c>
      <c r="C51" s="393">
        <f t="shared" si="45"/>
        <v>0</v>
      </c>
      <c r="D51" s="393">
        <f t="shared" si="45"/>
        <v>0</v>
      </c>
      <c r="E51" s="393">
        <f t="shared" si="45"/>
        <v>0</v>
      </c>
      <c r="F51" s="393">
        <f t="shared" si="45"/>
        <v>0</v>
      </c>
      <c r="G51" s="393">
        <f t="shared" si="45"/>
        <v>0</v>
      </c>
      <c r="H51" s="393">
        <f t="shared" si="45"/>
        <v>0</v>
      </c>
      <c r="I51" s="393">
        <f t="shared" si="45"/>
        <v>0</v>
      </c>
      <c r="J51" s="393">
        <f t="shared" si="45"/>
        <v>0</v>
      </c>
      <c r="K51" s="393">
        <f t="shared" si="45"/>
        <v>0</v>
      </c>
      <c r="L51" s="393">
        <f t="shared" si="45"/>
        <v>0</v>
      </c>
      <c r="M51" s="393">
        <f t="shared" si="45"/>
        <v>0</v>
      </c>
      <c r="N51" s="393">
        <f t="shared" ref="N51" si="46">+N50/$O49</f>
        <v>0</v>
      </c>
      <c r="O51" s="89"/>
      <c r="P51" s="89"/>
      <c r="Q51" s="89"/>
    </row>
    <row r="52" spans="1:26" x14ac:dyDescent="0.25">
      <c r="A52" s="142" t="s">
        <v>56</v>
      </c>
      <c r="B52" s="394">
        <f t="shared" ref="B52:I52" si="47">+B50/12</f>
        <v>0</v>
      </c>
      <c r="C52" s="394">
        <f t="shared" si="47"/>
        <v>0</v>
      </c>
      <c r="D52" s="394">
        <f t="shared" si="47"/>
        <v>0</v>
      </c>
      <c r="E52" s="394">
        <f t="shared" si="47"/>
        <v>0</v>
      </c>
      <c r="F52" s="394">
        <f t="shared" si="47"/>
        <v>0</v>
      </c>
      <c r="G52" s="394">
        <f t="shared" si="47"/>
        <v>0</v>
      </c>
      <c r="H52" s="394">
        <f t="shared" ref="H52" si="48">+H50/12</f>
        <v>0</v>
      </c>
      <c r="I52" s="394">
        <f t="shared" si="47"/>
        <v>0</v>
      </c>
      <c r="J52" s="394">
        <f t="shared" ref="J52:L52" si="49">+J50/12</f>
        <v>0</v>
      </c>
      <c r="K52" s="394">
        <f t="shared" si="49"/>
        <v>0</v>
      </c>
      <c r="L52" s="394">
        <f t="shared" si="49"/>
        <v>0</v>
      </c>
      <c r="M52" s="394">
        <f t="shared" ref="M52:N52" si="50">+M50/12</f>
        <v>0</v>
      </c>
      <c r="N52" s="394">
        <f t="shared" si="50"/>
        <v>0</v>
      </c>
      <c r="O52" s="89"/>
      <c r="P52" s="89"/>
      <c r="Q52" s="89"/>
    </row>
    <row r="53" spans="1:26" x14ac:dyDescent="0.25">
      <c r="A53" s="141" t="s">
        <v>21</v>
      </c>
      <c r="B53" s="110">
        <f t="shared" ref="B53:K53" si="51">IF($O49=9,ROUND(B49*B51,0),IF($O49=12,ROUND((B49*B51*$Q$41)+(C49*B51*$Q$42),0),0))</f>
        <v>0</v>
      </c>
      <c r="C53" s="110">
        <f t="shared" si="51"/>
        <v>0</v>
      </c>
      <c r="D53" s="110">
        <f t="shared" si="51"/>
        <v>0</v>
      </c>
      <c r="E53" s="110">
        <f t="shared" si="51"/>
        <v>0</v>
      </c>
      <c r="F53" s="110">
        <f t="shared" si="51"/>
        <v>0</v>
      </c>
      <c r="G53" s="110">
        <f t="shared" si="51"/>
        <v>0</v>
      </c>
      <c r="H53" s="110">
        <f t="shared" si="51"/>
        <v>0</v>
      </c>
      <c r="I53" s="110">
        <f t="shared" si="51"/>
        <v>0</v>
      </c>
      <c r="J53" s="110">
        <f t="shared" si="51"/>
        <v>0</v>
      </c>
      <c r="K53" s="110">
        <f t="shared" si="51"/>
        <v>0</v>
      </c>
      <c r="L53" s="110">
        <f>IF($O49=9,ROUND(L49*L51,0),IF($O49=12,ROUND((L49*L51*$Q$41)+(O49*L51*$Q$42),0),0))</f>
        <v>0</v>
      </c>
      <c r="M53" s="110">
        <f>IF($O49=9,ROUND(M49*M51,0),IF($O49=12,ROUND((M49*M51*$Q$41)+(P49*M51*$Q$42),0),0))</f>
        <v>0</v>
      </c>
      <c r="N53" s="110">
        <f>IF($O49=9,ROUND(N49*N51,0),IF($O49=12,ROUND((N49*N51*$Q$41)+(Q49*N51*$Q$42),0),0))</f>
        <v>0</v>
      </c>
      <c r="O53" s="89"/>
      <c r="P53" s="89"/>
      <c r="Q53" s="89"/>
      <c r="X53" s="53"/>
      <c r="Z53" s="26"/>
    </row>
    <row r="54" spans="1:26" x14ac:dyDescent="0.25">
      <c r="A54" s="143"/>
      <c r="O54" s="89"/>
      <c r="P54" s="89"/>
      <c r="Q54" s="89"/>
      <c r="X54" s="53"/>
      <c r="Z54" s="26"/>
    </row>
    <row r="55" spans="1:26" x14ac:dyDescent="0.25">
      <c r="A55" s="139" t="str">
        <f>CONCATENATE("Calculation based on ",O57," month salary")</f>
        <v>Calculation based on 9 month salary</v>
      </c>
      <c r="B55" s="104" t="str">
        <f t="shared" ref="B55:L55" si="52">IF(AND(B56=$AE$5,$O57=9),$AE$3,IF(AND(B56=$AF$5,$O57=9),$AF$3,IF(AND(B56=$AG$5,$O57=9),$AG$3,IF(AND(B56=$AH$5,$O57=9),$AH$3,IF(AND(B56=$AI$5,$O57=9),$AI$3,IF(AND(B56=$AJ$5,$O57=9),$AJ$3,IF(AND(B56=$AK$5,$O57=9),$AK$3,IF(AND(B56=$AL$5,$O57=9),$AL$3,IF(AND(B56=$AM$5,$O57=9),$AM$3,IF(AND(B56=$AN$5,$O57=9),$AN$3,IF(AND(B56=$AO$5,$O57=9),$AO$3,IF(AND(B56=$AP$5,$O57=9),$AJ$3,IF(AND(B56=$AE$4,$O57=12),$AE$3,IF(AND(B56=$AF$4,$O57=12),$AF$3,IF(AND(B56=$AG$4,$O57=12),$AG$3,IF(AND(B56=$AH$4,$O57=12),$AH$3,IF(AND(B56=$AI$4,$O57=12),$AI$3,IF(AND(B56=$AJ$4,$O57=12),$AJ$3,IF(AND(B56=$AK$4,$O57=12),$AK$3,IF(AND(B56=$AL$4,$O57=12),$AL$3,IF(AND(B56=$AM$4,$O57=12),$AM$3,IF(AND(B56=$AN$4,$O57=12),$AN$3,IF(AND(B56=$AO$4,$O57=12),$AO$3,IF(AND(B56=$AP$4,$O57=12),$AJ$3," "))))))))))))))))))))))))</f>
        <v xml:space="preserve"> </v>
      </c>
      <c r="C55" s="104" t="str">
        <f t="shared" si="52"/>
        <v>Year 1</v>
      </c>
      <c r="D55" s="104" t="str">
        <f t="shared" si="52"/>
        <v>Year 2</v>
      </c>
      <c r="E55" s="104" t="str">
        <f t="shared" si="52"/>
        <v>Year 3</v>
      </c>
      <c r="F55" s="104" t="str">
        <f t="shared" si="52"/>
        <v>Year 4</v>
      </c>
      <c r="G55" s="104" t="str">
        <f t="shared" si="52"/>
        <v>Year 5</v>
      </c>
      <c r="H55" s="104" t="str">
        <f t="shared" si="52"/>
        <v>Year 6</v>
      </c>
      <c r="I55" s="104" t="str">
        <f t="shared" si="52"/>
        <v>Year 7</v>
      </c>
      <c r="J55" s="104" t="str">
        <f t="shared" si="52"/>
        <v>Year 8</v>
      </c>
      <c r="K55" s="104" t="str">
        <f t="shared" si="52"/>
        <v>Year 9</v>
      </c>
      <c r="L55" s="104" t="str">
        <f t="shared" si="52"/>
        <v>Year 10</v>
      </c>
      <c r="M55" s="104" t="str">
        <f>IF(AND(M56=$AE$5,$O57=9),$AE$3,IF(AND(M56=$AF$5,$O57=9),$AF$3,IF(AND(M56=$AG$5,$O57=9),$AG$3,IF(AND(M56=$AH$5,$O57=9),$AH$3,IF(AND(M56=$AI$5,$O57=9),$AI$3,IF(AND(M56=$AJ$5,$O57=9),$AJ$3,IF(AND(M56=$AK$5,$O57=9),$AK$3,IF(AND(M56=$AL$5,$O57=9),$AL$3,IF(AND(M56=$AM$5,$O57=9),$AM$3,IF(AND(M56=$AN$5,$O57=9),$AN$3,IF(AND(M56=$AO$5,$O57=9),$AO$3,IF(AND(M56=$AP$5,$O57=9),$AP$3,IF(AND(M56=$AQ$5,$O57=9),$AJ$3,IF(AND(M56=$AE$4,$O57=12),$AE$3,IF(AND(M56=$AF$4,$O57=12),$AF$3,IF(AND(M56=$AG$4,$O57=12),$AG$3,IF(AND(M56=$AH$4,$O57=12),$AH$3,IF(AND(M56=$AI$4,$O57=12),$AI$3,IF(AND(M56=$AJ$4,$O57=12),$AJ$3,IF(AND(M56=$AK$4,$O57=12),$AK$3,IF(AND(M56=$AL$4,$O57=12),$AL$3,IF(AND(M56=$AM$4,$O57=12),$AM$3,IF(AND(M56=$AN$4,$O57=12),$AN$3,IF(AND(M56=$AO$4,$O57=12),$AO$3,IF(AND(M56=$AP$4,$O57=12),$AP$3,IF(AND(M56=$AQ$4,$O57=12),$AJ$3," "))))))))))))))))))))))))))</f>
        <v>Year 11</v>
      </c>
      <c r="N55" s="104" t="str">
        <f>IF(AND(N56=$AE$5,$O57=9),$AE$3,IF(AND(N56=$AF$5,$O57=9),$AF$3,IF(AND(N56=$AG$5,$O57=9),$AG$3,IF(AND(N56=$AH$5,$O57=9),$AH$3,IF(AND(N56=$AI$5,$O57=9),$AI$3,IF(AND(N56=$AJ$5,$O57=9),$AJ$3,IF(AND(N56=$AK$5,$O57=9),$AK$3,IF(AND(N56=$AL$5,$O57=9),$AL$3,IF(AND(N56=$AM$5,$O57=9),$AM$3,IF(AND(N56=$AN$5,$O57=9),$AN$3,IF(AND(N56=$AO$5,$O57=9),$AO$3,IF(AND(N56=$AP$5,$O57=9),$AP$3,IF(AND(N56=$AQ$5,$O57=9),$AJ$3,IF(AND(N56=$AE$4,$O57=12),$AE$3,IF(AND(N56=$AF$4,$O57=12),$AF$3,IF(AND(N56=$AG$4,$O57=12),$AG$3,IF(AND(N56=$AH$4,$O57=12),$AH$3,IF(AND(N56=$AI$4,$O57=12),$AI$3,IF(AND(N56=$AJ$4,$O57=12),$AJ$3,IF(AND(N56=$AK$4,$O57=12),$AK$3,IF(AND(N56=$AL$4,$O57=12),$AL$3,IF(AND(N56=$AM$4,$O57=12),$AM$3,IF(AND(N56=$AN$4,$O57=12),$AN$3,IF(AND(N56=$AO$4,$O57=12),$AO$3,IF(AND(N56=$AP$4,$O57=12),$AP$3,IF(AND(N56=$AQ$4,$O57=12),$AJ$3," "))))))))))))))))))))))))))</f>
        <v>Year 12</v>
      </c>
      <c r="O55" s="89"/>
      <c r="P55" s="89"/>
      <c r="Q55" s="89"/>
      <c r="V55" s="23"/>
    </row>
    <row r="56" spans="1:26" x14ac:dyDescent="0.25">
      <c r="A56" s="140" t="str">
        <f>+B29</f>
        <v>Co-PI</v>
      </c>
      <c r="B56" s="55" t="str">
        <f t="shared" ref="B56:I56" si="53">+N$2</f>
        <v>FY2025</v>
      </c>
      <c r="C56" s="55" t="str">
        <f t="shared" si="53"/>
        <v>FY2026</v>
      </c>
      <c r="D56" s="55" t="str">
        <f t="shared" si="53"/>
        <v>FY2027</v>
      </c>
      <c r="E56" s="55" t="str">
        <f t="shared" si="53"/>
        <v>FY2028</v>
      </c>
      <c r="F56" s="55" t="str">
        <f t="shared" si="53"/>
        <v>FY2029</v>
      </c>
      <c r="G56" s="55" t="str">
        <f t="shared" si="53"/>
        <v>FY2030</v>
      </c>
      <c r="H56" s="55" t="str">
        <f t="shared" si="53"/>
        <v>FY2031</v>
      </c>
      <c r="I56" s="55" t="str">
        <f t="shared" si="53"/>
        <v>FY2032</v>
      </c>
      <c r="J56" s="55" t="str">
        <f t="shared" ref="J56" si="54">+V$2</f>
        <v>FY2033</v>
      </c>
      <c r="K56" s="55" t="str">
        <f t="shared" ref="K56" si="55">+W$2</f>
        <v>FY2034</v>
      </c>
      <c r="L56" s="55" t="str">
        <f t="shared" ref="L56" si="56">+X$2</f>
        <v>FY2035</v>
      </c>
      <c r="M56" s="55" t="str">
        <f t="shared" ref="M56:N56" si="57">+Y$2</f>
        <v>FY2036</v>
      </c>
      <c r="N56" s="55" t="str">
        <f t="shared" si="57"/>
        <v>FY2037</v>
      </c>
      <c r="O56" s="32" t="s">
        <v>20</v>
      </c>
      <c r="P56" s="89"/>
      <c r="Q56" s="89"/>
      <c r="V56" s="23"/>
    </row>
    <row r="57" spans="1:26" x14ac:dyDescent="0.25">
      <c r="A57" s="141" t="str">
        <f>CONCATENATE("Base Salary: ",O57," month term")</f>
        <v>Base Salary: 9 month term</v>
      </c>
      <c r="B57" s="383">
        <v>0</v>
      </c>
      <c r="C57" s="384">
        <f t="shared" ref="C57:N57" si="58">ROUND(+B57*(1+(HLOOKUP(C56,FringeAndIDCRates,10,FALSE))),0)</f>
        <v>0</v>
      </c>
      <c r="D57" s="384">
        <f t="shared" si="58"/>
        <v>0</v>
      </c>
      <c r="E57" s="384">
        <f t="shared" si="58"/>
        <v>0</v>
      </c>
      <c r="F57" s="384">
        <f t="shared" si="58"/>
        <v>0</v>
      </c>
      <c r="G57" s="384">
        <f t="shared" si="58"/>
        <v>0</v>
      </c>
      <c r="H57" s="384">
        <f t="shared" si="58"/>
        <v>0</v>
      </c>
      <c r="I57" s="384">
        <f t="shared" si="58"/>
        <v>0</v>
      </c>
      <c r="J57" s="384">
        <f t="shared" si="58"/>
        <v>0</v>
      </c>
      <c r="K57" s="384">
        <f t="shared" si="58"/>
        <v>0</v>
      </c>
      <c r="L57" s="384">
        <f t="shared" si="58"/>
        <v>0</v>
      </c>
      <c r="M57" s="384">
        <f t="shared" si="58"/>
        <v>0</v>
      </c>
      <c r="N57" s="384">
        <f t="shared" si="58"/>
        <v>0</v>
      </c>
      <c r="O57" s="310">
        <v>9</v>
      </c>
      <c r="P57" s="311"/>
      <c r="Q57" s="52"/>
      <c r="T57" s="23"/>
      <c r="V57" s="23"/>
    </row>
    <row r="58" spans="1:26" x14ac:dyDescent="0.25">
      <c r="A58" s="141" t="s">
        <v>44</v>
      </c>
      <c r="B58" s="312">
        <v>0</v>
      </c>
      <c r="C58" s="312">
        <v>0</v>
      </c>
      <c r="D58" s="312">
        <v>0</v>
      </c>
      <c r="E58" s="312">
        <v>0</v>
      </c>
      <c r="F58" s="312">
        <v>0</v>
      </c>
      <c r="G58" s="312">
        <v>0</v>
      </c>
      <c r="H58" s="312">
        <v>0</v>
      </c>
      <c r="I58" s="312">
        <v>0</v>
      </c>
      <c r="J58" s="312">
        <v>0</v>
      </c>
      <c r="K58" s="312">
        <v>0</v>
      </c>
      <c r="L58" s="312">
        <v>0</v>
      </c>
      <c r="M58" s="312">
        <v>0</v>
      </c>
      <c r="N58" s="312">
        <v>0</v>
      </c>
      <c r="O58" s="25"/>
      <c r="P58" s="25"/>
      <c r="Q58" s="25"/>
      <c r="T58" s="23"/>
    </row>
    <row r="59" spans="1:26" x14ac:dyDescent="0.25">
      <c r="A59" s="141" t="str">
        <f>CONCATENATE("FTE for ",O57," Months")</f>
        <v>FTE for 9 Months</v>
      </c>
      <c r="B59" s="393">
        <f t="shared" ref="B59:M59" si="59">+B58/$O57</f>
        <v>0</v>
      </c>
      <c r="C59" s="393">
        <f t="shared" si="59"/>
        <v>0</v>
      </c>
      <c r="D59" s="393">
        <f t="shared" si="59"/>
        <v>0</v>
      </c>
      <c r="E59" s="393">
        <f t="shared" si="59"/>
        <v>0</v>
      </c>
      <c r="F59" s="393">
        <f t="shared" si="59"/>
        <v>0</v>
      </c>
      <c r="G59" s="393">
        <f t="shared" si="59"/>
        <v>0</v>
      </c>
      <c r="H59" s="393">
        <f t="shared" si="59"/>
        <v>0</v>
      </c>
      <c r="I59" s="393">
        <f t="shared" si="59"/>
        <v>0</v>
      </c>
      <c r="J59" s="393">
        <f t="shared" si="59"/>
        <v>0</v>
      </c>
      <c r="K59" s="393">
        <f t="shared" si="59"/>
        <v>0</v>
      </c>
      <c r="L59" s="393">
        <f t="shared" si="59"/>
        <v>0</v>
      </c>
      <c r="M59" s="393">
        <f t="shared" si="59"/>
        <v>0</v>
      </c>
      <c r="N59" s="393">
        <f t="shared" ref="N59" si="60">+N58/$O57</f>
        <v>0</v>
      </c>
      <c r="O59" s="89"/>
      <c r="P59" s="89"/>
      <c r="Q59" s="89"/>
      <c r="T59" s="23"/>
    </row>
    <row r="60" spans="1:26" x14ac:dyDescent="0.25">
      <c r="A60" s="142" t="s">
        <v>56</v>
      </c>
      <c r="B60" s="394">
        <f>+B58/12</f>
        <v>0</v>
      </c>
      <c r="C60" s="394">
        <f>+C58/12</f>
        <v>0</v>
      </c>
      <c r="D60" s="394">
        <f t="shared" ref="D60:I60" si="61">+D58/12</f>
        <v>0</v>
      </c>
      <c r="E60" s="394">
        <f t="shared" si="61"/>
        <v>0</v>
      </c>
      <c r="F60" s="394">
        <f t="shared" si="61"/>
        <v>0</v>
      </c>
      <c r="G60" s="394">
        <f t="shared" si="61"/>
        <v>0</v>
      </c>
      <c r="H60" s="394">
        <f t="shared" ref="H60" si="62">+H58/12</f>
        <v>0</v>
      </c>
      <c r="I60" s="394">
        <f t="shared" si="61"/>
        <v>0</v>
      </c>
      <c r="J60" s="394">
        <f t="shared" ref="J60:L60" si="63">+J58/12</f>
        <v>0</v>
      </c>
      <c r="K60" s="394">
        <f t="shared" si="63"/>
        <v>0</v>
      </c>
      <c r="L60" s="394">
        <f t="shared" si="63"/>
        <v>0</v>
      </c>
      <c r="M60" s="394">
        <f t="shared" ref="M60:N60" si="64">+M58/12</f>
        <v>0</v>
      </c>
      <c r="N60" s="394">
        <f t="shared" si="64"/>
        <v>0</v>
      </c>
      <c r="O60" s="89"/>
      <c r="P60" s="89"/>
      <c r="Q60" s="89"/>
      <c r="T60" s="23"/>
    </row>
    <row r="61" spans="1:26" x14ac:dyDescent="0.25">
      <c r="A61" s="141" t="s">
        <v>21</v>
      </c>
      <c r="B61" s="110">
        <f t="shared" ref="B61:K61" si="65">IF($O57=9,ROUND(B57*B59,0),IF($O57=12,ROUND((B57*B59*$Q$41)+(C57*B59*$Q$42),0),0))</f>
        <v>0</v>
      </c>
      <c r="C61" s="110">
        <f t="shared" si="65"/>
        <v>0</v>
      </c>
      <c r="D61" s="110">
        <f t="shared" si="65"/>
        <v>0</v>
      </c>
      <c r="E61" s="110">
        <f t="shared" si="65"/>
        <v>0</v>
      </c>
      <c r="F61" s="110">
        <f t="shared" si="65"/>
        <v>0</v>
      </c>
      <c r="G61" s="110">
        <f t="shared" si="65"/>
        <v>0</v>
      </c>
      <c r="H61" s="110">
        <f t="shared" si="65"/>
        <v>0</v>
      </c>
      <c r="I61" s="110">
        <f t="shared" si="65"/>
        <v>0</v>
      </c>
      <c r="J61" s="110">
        <f t="shared" si="65"/>
        <v>0</v>
      </c>
      <c r="K61" s="110">
        <f t="shared" si="65"/>
        <v>0</v>
      </c>
      <c r="L61" s="110">
        <f>IF($O57=9,ROUND(L57*L59,0),IF($O57=12,ROUND((L57*L59*$Q$41)+(N57*L59*$Q$42),0),0))</f>
        <v>0</v>
      </c>
      <c r="M61" s="110">
        <f>IF($O57=9,ROUND(M57*M59,0),IF($O57=12,ROUND((M57*M59*$Q$41)+(O57*M59*$Q$42),0),0))</f>
        <v>0</v>
      </c>
      <c r="N61" s="110">
        <f>IF($O57=9,ROUND(N57*N59,0),IF($O57=12,ROUND((N57*N59*$Q$41)+(P57*N59*$Q$42),0),0))</f>
        <v>0</v>
      </c>
      <c r="O61" s="89"/>
      <c r="P61" s="89"/>
      <c r="Q61" s="89"/>
      <c r="T61" s="23"/>
    </row>
    <row r="62" spans="1:26" x14ac:dyDescent="0.25">
      <c r="A62" s="141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89"/>
      <c r="P62" s="89"/>
      <c r="Q62" s="89"/>
      <c r="R62" s="26"/>
      <c r="S62" s="23"/>
      <c r="T62" s="23"/>
      <c r="U62" s="23"/>
      <c r="V62" s="23"/>
      <c r="W62" s="23"/>
      <c r="X62" s="23"/>
      <c r="Y62" s="23"/>
    </row>
    <row r="63" spans="1:26" x14ac:dyDescent="0.25">
      <c r="A63" s="139" t="str">
        <f>CONCATENATE("Calculation based on ",O65," month salary")</f>
        <v>Calculation based on 9 month salary</v>
      </c>
      <c r="B63" s="104" t="str">
        <f t="shared" ref="B63:L63" si="66">IF(AND(B64=$AE$5,$O65=9),$AE$3,IF(AND(B64=$AF$5,$O65=9),$AF$3,IF(AND(B64=$AG$5,$O65=9),$AG$3,IF(AND(B64=$AH$5,$O65=9),$AH$3,IF(AND(B64=$AI$5,$O65=9),$AI$3,IF(AND(B64=$AJ$5,$O65=9),$AJ$3,IF(AND(B64=$AK$5,$O65=9),$AK$3,IF(AND(B64=$AL$5,$O65=9),$AL$3,IF(AND(B64=$AM$5,$O65=9),$AM$3,IF(AND(B64=$AN$5,$O65=9),$AN$3,IF(AND(B64=$AO$5,$O65=9),$AO$3,IF(AND(B64=$AP$5,$O65=9),$AJ$3,IF(AND(B64=$AE$4,$O65=12),$AE$3,IF(AND(B64=$AF$4,$O65=12),$AF$3,IF(AND(B64=$AG$4,$O65=12),$AG$3,IF(AND(B64=$AH$4,$O65=12),$AH$3,IF(AND(B64=$AI$4,$O65=12),$AI$3,IF(AND(B64=$AJ$4,$O65=12),$AJ$3,IF(AND(B64=$AK$4,$O65=12),$AK$3,IF(AND(B64=$AL$4,$O65=12),$AL$3,IF(AND(B64=$AM$4,$O65=12),$AM$3,IF(AND(B64=$AN$4,$O65=12),$AN$3,IF(AND(B64=$AO$4,$O65=12),$AO$3,IF(AND(B64=$AP$4,$O65=12),$AJ$3," "))))))))))))))))))))))))</f>
        <v xml:space="preserve"> </v>
      </c>
      <c r="C63" s="104" t="str">
        <f t="shared" si="66"/>
        <v>Year 1</v>
      </c>
      <c r="D63" s="104" t="str">
        <f t="shared" si="66"/>
        <v>Year 2</v>
      </c>
      <c r="E63" s="104" t="str">
        <f t="shared" si="66"/>
        <v>Year 3</v>
      </c>
      <c r="F63" s="104" t="str">
        <f t="shared" si="66"/>
        <v>Year 4</v>
      </c>
      <c r="G63" s="104" t="str">
        <f t="shared" si="66"/>
        <v>Year 5</v>
      </c>
      <c r="H63" s="104" t="str">
        <f t="shared" si="66"/>
        <v>Year 6</v>
      </c>
      <c r="I63" s="104" t="str">
        <f t="shared" si="66"/>
        <v>Year 7</v>
      </c>
      <c r="J63" s="104" t="str">
        <f t="shared" si="66"/>
        <v>Year 8</v>
      </c>
      <c r="K63" s="104" t="str">
        <f t="shared" si="66"/>
        <v>Year 9</v>
      </c>
      <c r="L63" s="104" t="str">
        <f t="shared" si="66"/>
        <v>Year 10</v>
      </c>
      <c r="M63" s="104" t="str">
        <f>IF(AND(M64=$AE$5,$O65=9),$AE$3,IF(AND(M64=$AF$5,$O65=9),$AF$3,IF(AND(M64=$AG$5,$O65=9),$AG$3,IF(AND(M64=$AH$5,$O65=9),$AH$3,IF(AND(M64=$AI$5,$O65=9),$AI$3,IF(AND(M64=$AJ$5,$O65=9),$AJ$3,IF(AND(M64=$AK$5,$O65=9),$AK$3,IF(AND(M64=$AL$5,$O65=9),$AL$3,IF(AND(M64=$AM$5,$O65=9),$AM$3,IF(AND(M64=$AN$5,$O65=9),$AN$3,IF(AND(M64=$AO$5,$O65=9),$AO$3,IF(AND(M64=$AP$5,$O65=9),$AP$3,IF(AND(M64=$AQ$5,$O65=9),$AJ$3,IF(AND(M64=$AE$4,$O65=12),$AE$3,IF(AND(M64=$AF$4,$O65=12),$AF$3,IF(AND(M64=$AG$4,$O65=12),$AG$3,IF(AND(M64=$AH$4,$O65=12),$AH$3,IF(AND(M64=$AI$4,$O65=12),$AI$3,IF(AND(M64=$AJ$4,$O65=12),$AJ$3,IF(AND(M64=$AK$4,$O65=12),$AK$3,IF(AND(M64=$AL$4,$O65=12),$AL$3,IF(AND(M64=$AM$4,$O65=12),$AM$3,IF(AND(M64=$AN$4,$O65=12),$AN$3,IF(AND(M64=$AO$4,$O65=12),$AO$3,IF(AND(M64=$AP$4,$O65=12),$AP$3,IF(AND(M64=$AQ$4,$O65=12),$AJ$3," "))))))))))))))))))))))))))</f>
        <v>Year 11</v>
      </c>
      <c r="N63" s="104" t="str">
        <f>IF(AND(N64=$AE$5,$O65=9),$AE$3,IF(AND(N64=$AF$5,$O65=9),$AF$3,IF(AND(N64=$AG$5,$O65=9),$AG$3,IF(AND(N64=$AH$5,$O65=9),$AH$3,IF(AND(N64=$AI$5,$O65=9),$AI$3,IF(AND(N64=$AJ$5,$O65=9),$AJ$3,IF(AND(N64=$AK$5,$O65=9),$AK$3,IF(AND(N64=$AL$5,$O65=9),$AL$3,IF(AND(N64=$AM$5,$O65=9),$AM$3,IF(AND(N64=$AN$5,$O65=9),$AN$3,IF(AND(N64=$AO$5,$O65=9),$AO$3,IF(AND(N64=$AP$5,$O65=9),$AP$3,IF(AND(N64=$AQ$5,$O65=9),$AJ$3,IF(AND(N64=$AE$4,$O65=12),$AE$3,IF(AND(N64=$AF$4,$O65=12),$AF$3,IF(AND(N64=$AG$4,$O65=12),$AG$3,IF(AND(N64=$AH$4,$O65=12),$AH$3,IF(AND(N64=$AI$4,$O65=12),$AI$3,IF(AND(N64=$AJ$4,$O65=12),$AJ$3,IF(AND(N64=$AK$4,$O65=12),$AK$3,IF(AND(N64=$AL$4,$O65=12),$AL$3,IF(AND(N64=$AM$4,$O65=12),$AM$3,IF(AND(N64=$AN$4,$O65=12),$AN$3,IF(AND(N64=$AO$4,$O65=12),$AO$3,IF(AND(N64=$AP$4,$O65=12),$AP$3,IF(AND(N64=$AQ$4,$O65=12),$AJ$3," "))))))))))))))))))))))))))</f>
        <v>Year 12</v>
      </c>
      <c r="O63" s="89"/>
      <c r="P63" s="89"/>
      <c r="Q63" s="89"/>
      <c r="Y63" s="23"/>
    </row>
    <row r="64" spans="1:26" x14ac:dyDescent="0.25">
      <c r="A64" s="140" t="str">
        <f>+B30</f>
        <v>Co-PI</v>
      </c>
      <c r="B64" s="55" t="str">
        <f t="shared" ref="B64:I64" si="67">+N$2</f>
        <v>FY2025</v>
      </c>
      <c r="C64" s="55" t="str">
        <f t="shared" si="67"/>
        <v>FY2026</v>
      </c>
      <c r="D64" s="55" t="str">
        <f t="shared" si="67"/>
        <v>FY2027</v>
      </c>
      <c r="E64" s="55" t="str">
        <f t="shared" si="67"/>
        <v>FY2028</v>
      </c>
      <c r="F64" s="55" t="str">
        <f t="shared" si="67"/>
        <v>FY2029</v>
      </c>
      <c r="G64" s="55" t="str">
        <f t="shared" si="67"/>
        <v>FY2030</v>
      </c>
      <c r="H64" s="55" t="str">
        <f t="shared" si="67"/>
        <v>FY2031</v>
      </c>
      <c r="I64" s="55" t="str">
        <f t="shared" si="67"/>
        <v>FY2032</v>
      </c>
      <c r="J64" s="55" t="str">
        <f t="shared" ref="J64" si="68">+V$2</f>
        <v>FY2033</v>
      </c>
      <c r="K64" s="55" t="str">
        <f t="shared" ref="K64" si="69">+W$2</f>
        <v>FY2034</v>
      </c>
      <c r="L64" s="55" t="str">
        <f t="shared" ref="L64" si="70">+X$2</f>
        <v>FY2035</v>
      </c>
      <c r="M64" s="55" t="str">
        <f t="shared" ref="M64:N64" si="71">+Y$2</f>
        <v>FY2036</v>
      </c>
      <c r="N64" s="55" t="str">
        <f t="shared" si="71"/>
        <v>FY2037</v>
      </c>
      <c r="O64" s="32" t="s">
        <v>20</v>
      </c>
      <c r="P64" s="89"/>
      <c r="Q64" s="89"/>
      <c r="Y64" s="23"/>
    </row>
    <row r="65" spans="1:34" x14ac:dyDescent="0.25">
      <c r="A65" s="141" t="str">
        <f>CONCATENATE("Base Salary: ",O65," month term")</f>
        <v>Base Salary: 9 month term</v>
      </c>
      <c r="B65" s="383">
        <v>0</v>
      </c>
      <c r="C65" s="384">
        <f t="shared" ref="C65:N65" si="72">ROUND(+B65*(1+(HLOOKUP(C64,FringeAndIDCRates,10,FALSE))),0)</f>
        <v>0</v>
      </c>
      <c r="D65" s="384">
        <f t="shared" si="72"/>
        <v>0</v>
      </c>
      <c r="E65" s="384">
        <f t="shared" si="72"/>
        <v>0</v>
      </c>
      <c r="F65" s="384">
        <f t="shared" si="72"/>
        <v>0</v>
      </c>
      <c r="G65" s="384">
        <f t="shared" si="72"/>
        <v>0</v>
      </c>
      <c r="H65" s="384">
        <f t="shared" si="72"/>
        <v>0</v>
      </c>
      <c r="I65" s="384">
        <f t="shared" si="72"/>
        <v>0</v>
      </c>
      <c r="J65" s="384">
        <f t="shared" si="72"/>
        <v>0</v>
      </c>
      <c r="K65" s="384">
        <f t="shared" si="72"/>
        <v>0</v>
      </c>
      <c r="L65" s="384">
        <f t="shared" si="72"/>
        <v>0</v>
      </c>
      <c r="M65" s="384">
        <f t="shared" si="72"/>
        <v>0</v>
      </c>
      <c r="N65" s="384">
        <f t="shared" si="72"/>
        <v>0</v>
      </c>
      <c r="O65" s="310">
        <v>9</v>
      </c>
      <c r="P65" s="311"/>
      <c r="Q65" s="52"/>
    </row>
    <row r="66" spans="1:34" x14ac:dyDescent="0.25">
      <c r="A66" s="141" t="s">
        <v>44</v>
      </c>
      <c r="B66" s="312">
        <v>0</v>
      </c>
      <c r="C66" s="312">
        <v>0</v>
      </c>
      <c r="D66" s="312">
        <v>0</v>
      </c>
      <c r="E66" s="312">
        <v>0</v>
      </c>
      <c r="F66" s="312">
        <v>0</v>
      </c>
      <c r="G66" s="312">
        <v>0</v>
      </c>
      <c r="H66" s="312">
        <v>0</v>
      </c>
      <c r="I66" s="312">
        <v>0</v>
      </c>
      <c r="J66" s="312">
        <v>0</v>
      </c>
      <c r="K66" s="312">
        <v>0</v>
      </c>
      <c r="L66" s="312">
        <v>0</v>
      </c>
      <c r="M66" s="312">
        <v>0</v>
      </c>
      <c r="N66" s="312">
        <v>0</v>
      </c>
      <c r="O66" s="25"/>
      <c r="P66" s="25"/>
      <c r="Q66" s="161"/>
      <c r="R66" s="42" t="str">
        <f>+O$26</f>
        <v>Graduate Student (Stipend, Tuition, Health Ins)</v>
      </c>
    </row>
    <row r="67" spans="1:34" x14ac:dyDescent="0.25">
      <c r="A67" s="141" t="str">
        <f>CONCATENATE("FTE for ",O65," Months")</f>
        <v>FTE for 9 Months</v>
      </c>
      <c r="B67" s="393">
        <f t="shared" ref="B67:M67" si="73">+B66/$O65</f>
        <v>0</v>
      </c>
      <c r="C67" s="393">
        <f t="shared" si="73"/>
        <v>0</v>
      </c>
      <c r="D67" s="393">
        <f t="shared" si="73"/>
        <v>0</v>
      </c>
      <c r="E67" s="393">
        <f t="shared" si="73"/>
        <v>0</v>
      </c>
      <c r="F67" s="393">
        <f t="shared" si="73"/>
        <v>0</v>
      </c>
      <c r="G67" s="393">
        <f t="shared" si="73"/>
        <v>0</v>
      </c>
      <c r="H67" s="393">
        <f t="shared" si="73"/>
        <v>0</v>
      </c>
      <c r="I67" s="393">
        <f t="shared" si="73"/>
        <v>0</v>
      </c>
      <c r="J67" s="393">
        <f t="shared" si="73"/>
        <v>0</v>
      </c>
      <c r="K67" s="393">
        <f t="shared" si="73"/>
        <v>0</v>
      </c>
      <c r="L67" s="393">
        <f t="shared" si="73"/>
        <v>0</v>
      </c>
      <c r="M67" s="393">
        <f t="shared" si="73"/>
        <v>0</v>
      </c>
      <c r="N67" s="393">
        <f t="shared" ref="N67" si="74">+N66/$O65</f>
        <v>0</v>
      </c>
      <c r="O67" s="89"/>
      <c r="P67" s="89"/>
      <c r="Q67" s="161"/>
      <c r="R67" s="25"/>
      <c r="S67" s="113" t="str">
        <f>+$P$30</f>
        <v>FY2025</v>
      </c>
      <c r="T67" s="113" t="str">
        <f>+$Q$30</f>
        <v>FY2026</v>
      </c>
      <c r="U67" s="113" t="str">
        <f>+$R$30</f>
        <v>FY2027</v>
      </c>
      <c r="V67" s="113" t="str">
        <f>+$S$30</f>
        <v>FY2028</v>
      </c>
      <c r="W67" s="113" t="str">
        <f>+$T$30</f>
        <v>FY2029</v>
      </c>
      <c r="X67" s="113" t="str">
        <f>+$U$30</f>
        <v>FY2030</v>
      </c>
      <c r="Y67" s="113" t="str">
        <f>+$V$30</f>
        <v>FY2031</v>
      </c>
      <c r="Z67" s="113" t="str">
        <f>+$W$30</f>
        <v>FY2032</v>
      </c>
      <c r="AA67" s="113" t="str">
        <f>+$X$30</f>
        <v>FY2033</v>
      </c>
      <c r="AB67" s="113" t="str">
        <f>+$Y$30</f>
        <v>FY2034</v>
      </c>
      <c r="AC67" s="113" t="str">
        <f>+$Z$30</f>
        <v>FY2035</v>
      </c>
      <c r="AD67" s="113" t="str">
        <f>+$AA$30</f>
        <v>FY2036</v>
      </c>
      <c r="AE67" s="113" t="str">
        <f>+$AB$30</f>
        <v>FY2037</v>
      </c>
      <c r="AF67" s="113" t="str">
        <f>+$AC$30</f>
        <v>FY2038</v>
      </c>
      <c r="AG67" s="114" t="s">
        <v>101</v>
      </c>
    </row>
    <row r="68" spans="1:34" x14ac:dyDescent="0.25">
      <c r="A68" s="142" t="s">
        <v>56</v>
      </c>
      <c r="B68" s="394">
        <f>+B66/12</f>
        <v>0</v>
      </c>
      <c r="C68" s="394">
        <f>+C66/12</f>
        <v>0</v>
      </c>
      <c r="D68" s="394">
        <f t="shared" ref="D68:I68" si="75">+D66/12</f>
        <v>0</v>
      </c>
      <c r="E68" s="394">
        <f t="shared" si="75"/>
        <v>0</v>
      </c>
      <c r="F68" s="394">
        <f t="shared" si="75"/>
        <v>0</v>
      </c>
      <c r="G68" s="394">
        <f t="shared" si="75"/>
        <v>0</v>
      </c>
      <c r="H68" s="394">
        <f t="shared" ref="H68" si="76">+H66/12</f>
        <v>0</v>
      </c>
      <c r="I68" s="394">
        <f t="shared" si="75"/>
        <v>0</v>
      </c>
      <c r="J68" s="394">
        <f t="shared" ref="J68:L68" si="77">+J66/12</f>
        <v>0</v>
      </c>
      <c r="K68" s="394">
        <f t="shared" si="77"/>
        <v>0</v>
      </c>
      <c r="L68" s="394">
        <f t="shared" si="77"/>
        <v>0</v>
      </c>
      <c r="M68" s="394">
        <f t="shared" ref="M68:N68" si="78">+M66/12</f>
        <v>0</v>
      </c>
      <c r="N68" s="394">
        <f t="shared" si="78"/>
        <v>0</v>
      </c>
      <c r="O68" s="89"/>
      <c r="P68" s="89"/>
      <c r="Q68" s="161"/>
      <c r="R68" s="30" t="s">
        <v>35</v>
      </c>
      <c r="S68" s="101">
        <f>+$P$31</f>
        <v>33930</v>
      </c>
      <c r="T68" s="101">
        <f>IF(ROUND(S68*(1+$AG68),0)=$Q$31,ROUND(S68*(1+$AG68),0),$Q$31)</f>
        <v>35627</v>
      </c>
      <c r="U68" s="101">
        <f t="shared" ref="U68:AF68" si="79">ROUND(T68*(1+$AG68),0)</f>
        <v>37408</v>
      </c>
      <c r="V68" s="101">
        <f t="shared" si="79"/>
        <v>39278</v>
      </c>
      <c r="W68" s="101">
        <f t="shared" si="79"/>
        <v>41242</v>
      </c>
      <c r="X68" s="101">
        <f t="shared" si="79"/>
        <v>43304</v>
      </c>
      <c r="Y68" s="101">
        <f t="shared" si="79"/>
        <v>45469</v>
      </c>
      <c r="Z68" s="101">
        <f t="shared" si="79"/>
        <v>47742</v>
      </c>
      <c r="AA68" s="101">
        <f t="shared" si="79"/>
        <v>50129</v>
      </c>
      <c r="AB68" s="101">
        <f t="shared" si="79"/>
        <v>52635</v>
      </c>
      <c r="AC68" s="101">
        <f t="shared" si="79"/>
        <v>55267</v>
      </c>
      <c r="AD68" s="101">
        <f t="shared" si="79"/>
        <v>58030</v>
      </c>
      <c r="AE68" s="101">
        <f t="shared" si="79"/>
        <v>60932</v>
      </c>
      <c r="AF68" s="101">
        <f t="shared" si="79"/>
        <v>63979</v>
      </c>
      <c r="AG68" s="31">
        <v>0.05</v>
      </c>
    </row>
    <row r="69" spans="1:34" x14ac:dyDescent="0.25">
      <c r="A69" s="141" t="s">
        <v>21</v>
      </c>
      <c r="B69" s="110">
        <f t="shared" ref="B69:K69" si="80">IF($O65=9,ROUND(B65*B67,0),IF($O65=12,ROUND((B65*B67*$Q$41)+(C65*B67*$Q$42),0),0))</f>
        <v>0</v>
      </c>
      <c r="C69" s="110">
        <f t="shared" si="80"/>
        <v>0</v>
      </c>
      <c r="D69" s="110">
        <f t="shared" si="80"/>
        <v>0</v>
      </c>
      <c r="E69" s="110">
        <f t="shared" si="80"/>
        <v>0</v>
      </c>
      <c r="F69" s="110">
        <f t="shared" si="80"/>
        <v>0</v>
      </c>
      <c r="G69" s="110">
        <f t="shared" si="80"/>
        <v>0</v>
      </c>
      <c r="H69" s="110">
        <f t="shared" si="80"/>
        <v>0</v>
      </c>
      <c r="I69" s="110">
        <f t="shared" si="80"/>
        <v>0</v>
      </c>
      <c r="J69" s="110">
        <f t="shared" si="80"/>
        <v>0</v>
      </c>
      <c r="K69" s="110">
        <f t="shared" si="80"/>
        <v>0</v>
      </c>
      <c r="L69" s="110">
        <f>IF($O65=9,ROUND(L65*L67,0),IF($O65=12,ROUND((L65*L67*$Q$41)+(N65*L67*$Q$42),0),0))</f>
        <v>0</v>
      </c>
      <c r="M69" s="110">
        <f>IF($O65=9,ROUND(M65*M67,0),IF($O65=12,ROUND((M65*M67*$Q$41)+(O65*M67*$Q$42),0),0))</f>
        <v>0</v>
      </c>
      <c r="N69" s="110">
        <f>IF($O65=9,ROUND(N65*N67,0),IF($O65=12,ROUND((N65*N67*$Q$41)+(P65*N67*$Q$42),0),0))</f>
        <v>0</v>
      </c>
      <c r="O69" s="89"/>
      <c r="P69" s="89"/>
      <c r="Q69" s="161"/>
      <c r="R69" s="30" t="s">
        <v>23</v>
      </c>
      <c r="S69" s="101">
        <f>+$P$32</f>
        <v>11310</v>
      </c>
      <c r="T69" s="101">
        <f>IF(ROUND(S69*(1+$AG69),0)=$Q$32,ROUND(S69*(1+$AG69),0),$Q$32)</f>
        <v>11876</v>
      </c>
      <c r="U69" s="101">
        <f t="shared" ref="U69:AF69" si="81">ROUND(T69*(1+$AG69),0)</f>
        <v>12470</v>
      </c>
      <c r="V69" s="101">
        <f t="shared" si="81"/>
        <v>13094</v>
      </c>
      <c r="W69" s="101">
        <f t="shared" si="81"/>
        <v>13749</v>
      </c>
      <c r="X69" s="101">
        <f t="shared" si="81"/>
        <v>14436</v>
      </c>
      <c r="Y69" s="101">
        <f t="shared" si="81"/>
        <v>15158</v>
      </c>
      <c r="Z69" s="101">
        <f t="shared" si="81"/>
        <v>15916</v>
      </c>
      <c r="AA69" s="101">
        <f t="shared" si="81"/>
        <v>16712</v>
      </c>
      <c r="AB69" s="101">
        <f t="shared" si="81"/>
        <v>17548</v>
      </c>
      <c r="AC69" s="101">
        <f t="shared" si="81"/>
        <v>18425</v>
      </c>
      <c r="AD69" s="101">
        <f t="shared" si="81"/>
        <v>19346</v>
      </c>
      <c r="AE69" s="101">
        <f t="shared" si="81"/>
        <v>20313</v>
      </c>
      <c r="AF69" s="101">
        <f t="shared" si="81"/>
        <v>21329</v>
      </c>
      <c r="AG69" s="66">
        <v>0.05</v>
      </c>
    </row>
    <row r="70" spans="1:34" x14ac:dyDescent="0.25">
      <c r="A70" s="141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89"/>
      <c r="P70" s="89"/>
      <c r="Q70" s="161"/>
      <c r="R70" s="30" t="s">
        <v>30</v>
      </c>
      <c r="S70" s="101">
        <f>+$P$33</f>
        <v>45240</v>
      </c>
      <c r="T70" s="101">
        <f>+T68+T69</f>
        <v>47503</v>
      </c>
      <c r="U70" s="101">
        <f t="shared" ref="U70:Y70" si="82">+U68+U69</f>
        <v>49878</v>
      </c>
      <c r="V70" s="101">
        <f t="shared" si="82"/>
        <v>52372</v>
      </c>
      <c r="W70" s="101">
        <f t="shared" si="82"/>
        <v>54991</v>
      </c>
      <c r="X70" s="101">
        <f t="shared" si="82"/>
        <v>57740</v>
      </c>
      <c r="Y70" s="101">
        <f t="shared" si="82"/>
        <v>60627</v>
      </c>
      <c r="Z70" s="101">
        <f t="shared" ref="Z70:AC70" si="83">+Z68+Z69</f>
        <v>63658</v>
      </c>
      <c r="AA70" s="101">
        <f t="shared" si="83"/>
        <v>66841</v>
      </c>
      <c r="AB70" s="101">
        <f t="shared" si="83"/>
        <v>70183</v>
      </c>
      <c r="AC70" s="101">
        <f t="shared" si="83"/>
        <v>73692</v>
      </c>
      <c r="AD70" s="101">
        <f t="shared" ref="AD70:AE70" si="84">+AD68+AD69</f>
        <v>77376</v>
      </c>
      <c r="AE70" s="101">
        <f t="shared" si="84"/>
        <v>81245</v>
      </c>
      <c r="AF70" s="101">
        <f t="shared" ref="AF70" si="85">+AF68+AF69</f>
        <v>85308</v>
      </c>
      <c r="AG70" s="31"/>
    </row>
    <row r="71" spans="1:34" x14ac:dyDescent="0.25">
      <c r="A71" s="141"/>
      <c r="B71" s="104" t="str">
        <f t="shared" ref="B71:L71" si="86">IF(AND(B72=$AE$5,$O73=9),$AE$3,IF(AND(B72=$AF$5,$O73=9),$AF$3,IF(AND(B72=$AG$5,$O73=9),$AG$3,IF(AND(B72=$AH$5,$O73=9),$AH$3,IF(AND(B72=$AI$5,$O73=9),$AI$3,IF(AND(B72=$AJ$5,$O73=9),$AJ$3,IF(AND(B72=$AK$5,$O73=9),$AK$3,IF(AND(B72=$AL$5,$O73=9),$AL$3,IF(AND(B72=$AM$5,$O73=9),$AM$3,IF(AND(B72=$AN$5,$O73=9),$AN$3,IF(AND(B72=$AO$5,$O73=9),$AO$3,IF(AND(B72=$AP$5,$O73=9),$AJ$3,IF(AND(B72=$AE$4,$O73=12),$AE$3,IF(AND(B72=$AF$4,$O73=12),$AF$3,IF(AND(B72=$AG$4,$O73=12),$AG$3,IF(AND(B72=$AH$4,$O73=12),$AH$3,IF(AND(B72=$AI$4,$O73=12),$AI$3,IF(AND(B72=$AJ$4,$O73=12),$AJ$3,IF(AND(B72=$AK$4,$O73=12),$AK$3,IF(AND(B72=$AL$4,$O73=12),$AL$3,IF(AND(B72=$AM$4,$O73=12),$AM$3,IF(AND(B72=$AN$4,$O73=12),$AN$3,IF(AND(B72=$AO$4,$O73=12),$AO$3,IF(AND(B72=$AP$4,$O73=12),$AJ$3," "))))))))))))))))))))))))</f>
        <v>Year 1</v>
      </c>
      <c r="C71" s="104" t="str">
        <f t="shared" si="86"/>
        <v>Year 2</v>
      </c>
      <c r="D71" s="104" t="str">
        <f t="shared" si="86"/>
        <v>Year 3</v>
      </c>
      <c r="E71" s="104" t="str">
        <f t="shared" si="86"/>
        <v>Year 4</v>
      </c>
      <c r="F71" s="104" t="str">
        <f t="shared" si="86"/>
        <v>Year 5</v>
      </c>
      <c r="G71" s="104" t="str">
        <f t="shared" si="86"/>
        <v>Year 6</v>
      </c>
      <c r="H71" s="104" t="str">
        <f t="shared" si="86"/>
        <v>Year 7</v>
      </c>
      <c r="I71" s="104" t="str">
        <f t="shared" si="86"/>
        <v>Year 8</v>
      </c>
      <c r="J71" s="104" t="str">
        <f t="shared" si="86"/>
        <v>Year 9</v>
      </c>
      <c r="K71" s="104" t="str">
        <f t="shared" si="86"/>
        <v>Year 10</v>
      </c>
      <c r="L71" s="104" t="str">
        <f t="shared" si="86"/>
        <v>Year 11</v>
      </c>
      <c r="M71" s="104" t="str">
        <f t="shared" ref="M71" si="87">IF(AND(M72=$AE$5,$O73=9),$AE$3,IF(AND(M72=$AF$5,$O73=9),$AF$3,IF(AND(M72=$AG$5,$O73=9),$AG$3,IF(AND(M72=$AH$5,$O73=9),$AH$3,IF(AND(M72=$AI$5,$O73=9),$AI$3,IF(AND(M72=$AJ$5,$O73=9),$AJ$3,IF(AND(M72=$AK$5,$O73=9),$AK$3,IF(AND(M72=$AL$5,$O73=9),$AL$3,IF(AND(M72=$AM$5,$O73=9),$AM$3,IF(AND(M72=$AN$5,$O73=9),$AN$3,IF(AND(M72=$AO$5,$O73=9),$AO$3,IF(AND(M72=$AP$5,$O73=9),$AJ$3,IF(AND(M72=$AE$4,$O73=12),$AE$3,IF(AND(M72=$AF$4,$O73=12),$AF$3,IF(AND(M72=$AG$4,$O73=12),$AG$3,IF(AND(M72=$AH$4,$O73=12),$AH$3,IF(AND(M72=$AI$4,$O73=12),$AI$3,IF(AND(M72=$AJ$4,$O73=12),$AJ$3,IF(AND(M72=$AK$4,$O73=12),$AK$3,IF(AND(M72=$AL$4,$O73=12),$AL$3,IF(AND(M72=$AM$4,$O73=12),$AM$3,IF(AND(M72=$AN$4,$O73=12),$AN$3,IF(AND(M72=$AO$4,$O73=12),$AO$3,IF(AND(M72=$AP$4,$O73=12),$AJ$3," "))))))))))))))))))))))))</f>
        <v>Year 6</v>
      </c>
      <c r="N71" s="104"/>
      <c r="O71" s="89"/>
      <c r="P71" s="89"/>
      <c r="Q71" s="161"/>
      <c r="R71" s="30" t="s">
        <v>8</v>
      </c>
      <c r="S71" s="101">
        <f t="shared" ref="S71:AF71" si="88">IF($B$31="Contract College",P$34,P$35)</f>
        <v>10400</v>
      </c>
      <c r="T71" s="101">
        <f t="shared" si="88"/>
        <v>10400</v>
      </c>
      <c r="U71" s="101">
        <f t="shared" si="88"/>
        <v>10400</v>
      </c>
      <c r="V71" s="101">
        <f t="shared" si="88"/>
        <v>10400</v>
      </c>
      <c r="W71" s="101">
        <f t="shared" si="88"/>
        <v>10400</v>
      </c>
      <c r="X71" s="101">
        <f t="shared" si="88"/>
        <v>10400</v>
      </c>
      <c r="Y71" s="101">
        <f t="shared" si="88"/>
        <v>10400</v>
      </c>
      <c r="Z71" s="101">
        <f t="shared" si="88"/>
        <v>10400</v>
      </c>
      <c r="AA71" s="101">
        <f t="shared" si="88"/>
        <v>10400</v>
      </c>
      <c r="AB71" s="101">
        <f t="shared" si="88"/>
        <v>10400</v>
      </c>
      <c r="AC71" s="101">
        <f t="shared" si="88"/>
        <v>10400</v>
      </c>
      <c r="AD71" s="101">
        <f t="shared" si="88"/>
        <v>10400</v>
      </c>
      <c r="AE71" s="101">
        <f t="shared" si="88"/>
        <v>10400</v>
      </c>
      <c r="AF71" s="101">
        <f t="shared" si="88"/>
        <v>10400</v>
      </c>
      <c r="AG71" s="31">
        <v>0</v>
      </c>
      <c r="AH71" t="s">
        <v>204</v>
      </c>
    </row>
    <row r="72" spans="1:34" x14ac:dyDescent="0.25">
      <c r="A72" s="140" t="s">
        <v>102</v>
      </c>
      <c r="B72" s="55" t="str">
        <f t="shared" ref="B72:I72" si="89">+N$2</f>
        <v>FY2025</v>
      </c>
      <c r="C72" s="55" t="str">
        <f t="shared" si="89"/>
        <v>FY2026</v>
      </c>
      <c r="D72" s="55" t="str">
        <f t="shared" si="89"/>
        <v>FY2027</v>
      </c>
      <c r="E72" s="55" t="str">
        <f t="shared" si="89"/>
        <v>FY2028</v>
      </c>
      <c r="F72" s="55" t="str">
        <f t="shared" si="89"/>
        <v>FY2029</v>
      </c>
      <c r="G72" s="55" t="str">
        <f t="shared" si="89"/>
        <v>FY2030</v>
      </c>
      <c r="H72" s="55" t="str">
        <f t="shared" si="89"/>
        <v>FY2031</v>
      </c>
      <c r="I72" s="55" t="str">
        <f t="shared" si="89"/>
        <v>FY2032</v>
      </c>
      <c r="J72" s="55" t="str">
        <f t="shared" ref="J72" si="90">+V$2</f>
        <v>FY2033</v>
      </c>
      <c r="K72" s="55" t="str">
        <f t="shared" ref="K72" si="91">+W$2</f>
        <v>FY2034</v>
      </c>
      <c r="L72" s="55" t="str">
        <f t="shared" ref="L72:M72" si="92">+X$2</f>
        <v>FY2035</v>
      </c>
      <c r="M72" s="55" t="str">
        <f t="shared" si="92"/>
        <v>FY2036</v>
      </c>
      <c r="N72" s="55"/>
      <c r="O72" s="32" t="s">
        <v>20</v>
      </c>
      <c r="P72" s="89"/>
      <c r="Q72" s="161"/>
      <c r="R72" s="30" t="s">
        <v>24</v>
      </c>
      <c r="S72" s="101">
        <f>+$P$36</f>
        <v>4378</v>
      </c>
      <c r="T72" s="101">
        <f>IF(ROUND(S72*(1+$AG72),0)=$Q$36,ROUND(S72*(1+$AG72),0),$Q$36)</f>
        <v>4816</v>
      </c>
      <c r="U72" s="101">
        <f t="shared" ref="U72:AF72" si="93">ROUND(T72*(1+$AG72),0)</f>
        <v>5298</v>
      </c>
      <c r="V72" s="101">
        <f t="shared" si="93"/>
        <v>5828</v>
      </c>
      <c r="W72" s="101">
        <f t="shared" si="93"/>
        <v>6411</v>
      </c>
      <c r="X72" s="101">
        <f t="shared" si="93"/>
        <v>7052</v>
      </c>
      <c r="Y72" s="101">
        <f t="shared" si="93"/>
        <v>7757</v>
      </c>
      <c r="Z72" s="101">
        <f t="shared" si="93"/>
        <v>8533</v>
      </c>
      <c r="AA72" s="101">
        <f t="shared" si="93"/>
        <v>9386</v>
      </c>
      <c r="AB72" s="101">
        <f t="shared" si="93"/>
        <v>10325</v>
      </c>
      <c r="AC72" s="101">
        <f t="shared" si="93"/>
        <v>11358</v>
      </c>
      <c r="AD72" s="101">
        <f t="shared" si="93"/>
        <v>12494</v>
      </c>
      <c r="AE72" s="101">
        <f t="shared" si="93"/>
        <v>13743</v>
      </c>
      <c r="AF72" s="101">
        <f t="shared" si="93"/>
        <v>15117</v>
      </c>
      <c r="AG72" s="31">
        <v>0.1</v>
      </c>
    </row>
    <row r="73" spans="1:34" x14ac:dyDescent="0.25">
      <c r="A73" s="141" t="str">
        <f>CONCATENATE("Base Salary: ",O73," month term")</f>
        <v>Base Salary: 12 month term</v>
      </c>
      <c r="B73" s="62">
        <f>PostdocMinRate</f>
        <v>61008</v>
      </c>
      <c r="C73" s="445">
        <f t="shared" ref="C73:M73" si="94">ROUND(+B73*(1+(HLOOKUP(C72,FringeAndIDCRates,11,FALSE))),0)</f>
        <v>63143</v>
      </c>
      <c r="D73" s="445">
        <f t="shared" si="94"/>
        <v>65227</v>
      </c>
      <c r="E73" s="445">
        <f t="shared" si="94"/>
        <v>67184</v>
      </c>
      <c r="F73" s="445">
        <f t="shared" si="94"/>
        <v>69200</v>
      </c>
      <c r="G73" s="445">
        <f t="shared" si="94"/>
        <v>71276</v>
      </c>
      <c r="H73" s="445">
        <f t="shared" si="94"/>
        <v>73414</v>
      </c>
      <c r="I73" s="445">
        <f t="shared" si="94"/>
        <v>75616</v>
      </c>
      <c r="J73" s="445">
        <f t="shared" si="94"/>
        <v>77884</v>
      </c>
      <c r="K73" s="445">
        <f t="shared" si="94"/>
        <v>80221</v>
      </c>
      <c r="L73" s="445">
        <f t="shared" si="94"/>
        <v>82628</v>
      </c>
      <c r="M73" s="445">
        <f t="shared" si="94"/>
        <v>85107</v>
      </c>
      <c r="N73" s="384"/>
      <c r="O73" s="317">
        <v>12</v>
      </c>
      <c r="P73" s="318"/>
      <c r="Q73" s="161"/>
      <c r="Y73" s="23"/>
    </row>
    <row r="74" spans="1:34" x14ac:dyDescent="0.25">
      <c r="A74" s="141" t="s">
        <v>44</v>
      </c>
      <c r="B74" s="312">
        <v>0</v>
      </c>
      <c r="C74" s="312">
        <v>0</v>
      </c>
      <c r="D74" s="312">
        <v>0</v>
      </c>
      <c r="E74" s="312">
        <v>0</v>
      </c>
      <c r="F74" s="312">
        <v>0</v>
      </c>
      <c r="G74" s="312">
        <v>0</v>
      </c>
      <c r="H74" s="312">
        <v>0</v>
      </c>
      <c r="I74" s="312">
        <v>0</v>
      </c>
      <c r="J74" s="312">
        <v>0</v>
      </c>
      <c r="K74" s="312">
        <v>0</v>
      </c>
      <c r="L74" s="312">
        <v>0</v>
      </c>
      <c r="M74" s="312">
        <v>0</v>
      </c>
      <c r="N74" s="400"/>
      <c r="O74" s="25"/>
      <c r="P74" s="25"/>
      <c r="Q74" s="161"/>
      <c r="Y74" s="23"/>
    </row>
    <row r="75" spans="1:34" x14ac:dyDescent="0.25">
      <c r="A75" s="141" t="str">
        <f>CONCATENATE("FTE for ",O73," Months")</f>
        <v>FTE for 12 Months</v>
      </c>
      <c r="B75" s="393">
        <f t="shared" ref="B75:L75" si="95">+B74/$O73</f>
        <v>0</v>
      </c>
      <c r="C75" s="393">
        <f t="shared" si="95"/>
        <v>0</v>
      </c>
      <c r="D75" s="393">
        <f t="shared" si="95"/>
        <v>0</v>
      </c>
      <c r="E75" s="393">
        <f t="shared" si="95"/>
        <v>0</v>
      </c>
      <c r="F75" s="393">
        <f t="shared" si="95"/>
        <v>0</v>
      </c>
      <c r="G75" s="393">
        <f t="shared" si="95"/>
        <v>0</v>
      </c>
      <c r="H75" s="393">
        <f t="shared" si="95"/>
        <v>0</v>
      </c>
      <c r="I75" s="393">
        <f t="shared" si="95"/>
        <v>0</v>
      </c>
      <c r="J75" s="393">
        <f t="shared" si="95"/>
        <v>0</v>
      </c>
      <c r="K75" s="393">
        <f t="shared" si="95"/>
        <v>0</v>
      </c>
      <c r="L75" s="393">
        <f t="shared" si="95"/>
        <v>0</v>
      </c>
      <c r="M75" s="393">
        <f t="shared" ref="M75" si="96">+M74/$O73</f>
        <v>0</v>
      </c>
      <c r="N75" s="401"/>
      <c r="O75" s="89"/>
      <c r="P75" s="89"/>
      <c r="Q75" s="161"/>
      <c r="S75" s="53" t="str">
        <f>IF(AND($AD$2&gt;=7,$AD$2&lt;=9),CONCATENATE("Fall ",$AD$3-1),IF(AND(AD2&gt;=7,AD2&lt;=10),CONCATENATE("Spring ",$AD$3),IF(OR(AD2&gt;=10,AD2&lt;=2),CONCATENATE("Spring ",$AD$3),IF(AND(AD2&gt;=7,AD2&lt;=10),CONCATENATE("Summer ",$AD$3),IF(OR(AD2&gt;=10,AD2&lt;=2),CONCATENATE("Summer ",$AD$3),IF(AND(AD2&gt;=3,AD2&lt;=6),CONCATENATE("Summer ",$AD$3),"N/A"))))))</f>
        <v>Spring 2025</v>
      </c>
      <c r="T75" s="53" t="str">
        <f>IF(AND($AD$2&gt;=7,$AD$2&lt;=9),CONCATENATE("Fall ",$AD$3),IF(AND(AD2&gt;=7,AD2&lt;=10),CONCATENATE("Spring ",$AD$3+1),IF(OR(AD2&gt;=10,AD2&lt;=2),CONCATENATE("Spring ",$AD$3+1),IF(AND(AD2&gt;=7,AD2&lt;=10),CONCATENATE("Summer ",$AD$3+1),IF(OR(AD2&gt;=10,AD2&lt;=2),CONCATENATE("Summer ",$AD$3+1),IF(AND(AD2&gt;=3,AD2&lt;=6),CONCATENATE("Summer ",$AD$3+1),"N/A"))))))</f>
        <v>Spring 2026</v>
      </c>
      <c r="U75" s="53" t="str">
        <f>IF(AND($AD$2&gt;=7,$AD$2&lt;=9),CONCATENATE("Fall ",$AD$3+1),IF(AND(AD2&gt;=7,AD2&lt;=10),CONCATENATE("Spring ",$AD$3+2),IF(OR(AD2&gt;=10,AD2&lt;=2),CONCATENATE("Spring ",$AD$3+2),IF(AND(AD2&gt;=7,AD2&lt;=10),CONCATENATE("Summer ",$AD$3+2),IF(OR(AD2&gt;=10,AD2&lt;=2),CONCATENATE("Summer ",$AD$3+2),IF(AND(AD2&gt;=3,AD2&lt;=6),CONCATENATE("Summer ",$AD$3+2),"N/A"))))))</f>
        <v>Spring 2027</v>
      </c>
      <c r="V75" s="53" t="str">
        <f>IF(AND($AD$2&gt;=7,$AD$2&lt;=9),CONCATENATE("Fall ",$AD$3+2),IF(AND(AD2&gt;=7,AD2&lt;=10),CONCATENATE("Spring ",$AD$3+3),IF(OR(AD2&gt;=10,AD2&lt;=2),CONCATENATE("Spring ",$AD$3+3),IF(AND(AD2&gt;=7,AD2&lt;=10),CONCATENATE("Summer ",$AD$3+3),IF(OR(AD2&gt;=10,AD2&lt;=2),CONCATENATE("Summer ",$AD$3+3),IF(AND(AD2&gt;=3,AD2&lt;=6),CONCATENATE("Summer ",$AD$3+3),"N/A"))))))</f>
        <v>Spring 2028</v>
      </c>
      <c r="W75" s="53" t="str">
        <f>IF(AND($AD$2&gt;=7,$AD$2&lt;=9),CONCATENATE("Fall ",$AD$3+3),IF(AND(AD2&gt;=7,AD2&lt;=10),CONCATENATE("Spring ",$AD$3+4),IF(OR(AD2&gt;=10,AD2&lt;=2),CONCATENATE("Spring ",$AD$3+4),IF(AND(AD2&gt;=7,AD2&lt;=10),CONCATENATE("Summer ",$AD$3+4),IF(OR(AD2&gt;=10,AD2&lt;=2),CONCATENATE("Summer ",$AD$3+4),IF(AND(AD2&gt;=3,AD2&lt;=6),CONCATENATE("Summer ",$AD$3+4),"N/A"))))))</f>
        <v>Spring 2029</v>
      </c>
      <c r="X75" s="53" t="str">
        <f>IF(AND($AD$2&gt;=7,$AD$2&lt;=9),CONCATENATE("Fall ",$AD$3+4),IF(AND(AE2&gt;=7,AE2&lt;=10),CONCATENATE("Spring ",$AD$3+5),IF(OR(AE2&gt;=10,AE2&lt;=2),CONCATENATE("Spring ",$AD$3+5),IF(AND(AE2&gt;=7,AE2&lt;=10),CONCATENATE("Summer ",$AD$3+5),IF(OR(AE2&gt;=10,AE2&lt;=2),CONCATENATE("Summer ",$AD$3+5),IF(AND(AE2&gt;=3,AE2&lt;=6),CONCATENATE("Summer ",$AD$3+5),"N/A"))))))</f>
        <v>Spring 2030</v>
      </c>
      <c r="Y75" s="53" t="str">
        <f>IF(AND($AD$2&gt;=7,$AD$2&lt;=9),CONCATENATE("Fall ",$AD$3+5),IF(AND(AF2&gt;=7,AF2&lt;=10),CONCATENATE("Spring ",$AD$3+6),IF(OR(AF2&gt;=10,AF2&lt;=2),CONCATENATE("Spring ",$AD$3+6),IF(AND(AF2&gt;=7,AF2&lt;=10),CONCATENATE("Summer ",$AD$3+6),IF(OR(AF2&gt;=10,AF2&lt;=2),CONCATENATE("Summer ",$AD$3+6),IF(AND(AF2&gt;=3,AF2&lt;=6),CONCATENATE("Summer ",$AD$3+6),"N/A"))))))</f>
        <v>Spring 2031</v>
      </c>
      <c r="Z75" s="53" t="str">
        <f>IF(AND($AD$2&gt;=7,$AD$2&lt;=9),CONCATENATE("Fall ",$AD$3+6),IF(AND(AG2&gt;=7,AG2&lt;=10),CONCATENATE("Spring ",$AD$3+7),IF(OR(AG2&gt;=10,AG2&lt;=2),CONCATENATE("Spring ",$AD$3+7),IF(AND(AG2&gt;=7,AG2&lt;=10),CONCATENATE("Summer ",$AD$3+7),IF(OR(AG2&gt;=10,AG2&lt;=2),CONCATENATE("Summer ",$AD$3+7),IF(AND(AG2&gt;=3,AG2&lt;=6),CONCATENATE("Summer ",$AD$3+7),"N/A"))))))</f>
        <v>Spring 2032</v>
      </c>
      <c r="AA75" s="53" t="str">
        <f>IF(AND($AD$2&gt;=7,$AD$2&lt;=9),CONCATENATE("Fall ",$AD$3+7),IF(AND(AH2&gt;=7,AH2&lt;=10),CONCATENATE("Spring ",$AD$3+8),IF(OR(AH2&gt;=10,AH2&lt;=2),CONCATENATE("Spring ",$AD$3+8),IF(AND(AH2&gt;=7,AH2&lt;=10),CONCATENATE("Summer ",$AD$3+8),IF(OR(AH2&gt;=10,AH2&lt;=2),CONCATENATE("Summer ",$AD$3+8),IF(AND(AH2&gt;=3,AH2&lt;=6),CONCATENATE("Summer ",$AD$3+8),"N/A"))))))</f>
        <v>Spring 2033</v>
      </c>
      <c r="AB75" s="53" t="str">
        <f>IF(AND($AD$2&gt;=7,$AD$2&lt;=9),CONCATENATE("Fall ",$AD$3+8),IF(AND(AI2&gt;=7,AI2&lt;=10),CONCATENATE("Spring ",$AD$3+9),IF(OR(AI2&gt;=10,AI2&lt;=2),CONCATENATE("Spring ",$AD$3+9),IF(AND(AI2&gt;=7,AI2&lt;=10),CONCATENATE("Summer ",$AD$3+9),IF(OR(AI2&gt;=10,AI2&lt;=2),CONCATENATE("Summer ",$AD$3+9),IF(AND(AI2&gt;=3,AI2&lt;=6),CONCATENATE("Summer ",$AD$3+9),"N/A"))))))</f>
        <v>Spring 2034</v>
      </c>
      <c r="AC75" s="53" t="str">
        <f>IF(AND($AD$2&gt;=7,$AD$2&lt;=9),CONCATENATE("Fall ",$AD$3+9),IF(AND(AJ2&gt;=7,AJ2&lt;=10),CONCATENATE("Spring ",$AD$3+10),IF(OR(AJ2&gt;=10,AJ2&lt;=2),CONCATENATE("Spring ",$AD$3+10),IF(AND(AJ2&gt;=7,AJ2&lt;=10),CONCATENATE("Summer ",$AD$3+10),IF(OR(AJ2&gt;=10,AJ2&lt;=2),CONCATENATE("Summer ",$AD$3+10),IF(AND(AJ2&gt;=3,AJ2&lt;=6),CONCATENATE("Summer ",$AD$3+10),"N/A"))))))</f>
        <v>Spring 2035</v>
      </c>
      <c r="AD75" s="53" t="str">
        <f>IF(AND($AD$2&gt;=7,$AD$2&lt;=9),CONCATENATE("Fall ",$AD$3+10),IF(AND(AK2&gt;=7,AK2&lt;=10),CONCATENATE("Spring ",$AD$3+11),IF(OR(AK2&gt;=10,AK2&lt;=2),CONCATENATE("Spring ",$AD$3+11),IF(AND(AK2&gt;=7,AK2&lt;=10),CONCATENATE("Summer ",$AD$3+11),IF(OR(AK2&gt;=10,AK2&lt;=2),CONCATENATE("Summer ",$AD$3+11),IF(AND(AK2&gt;=3,AK2&lt;=6),CONCATENATE("Summer ",$AD$3+11),"N/A"))))))</f>
        <v>Spring 2036</v>
      </c>
    </row>
    <row r="76" spans="1:34" x14ac:dyDescent="0.25">
      <c r="A76" s="141" t="s">
        <v>21</v>
      </c>
      <c r="B76" s="110">
        <f t="shared" ref="B76:K76" si="97">ROUND((B73*B75*$Q$41)+(C73*B75*$Q$42),0)</f>
        <v>0</v>
      </c>
      <c r="C76" s="110">
        <f t="shared" si="97"/>
        <v>0</v>
      </c>
      <c r="D76" s="110">
        <f t="shared" si="97"/>
        <v>0</v>
      </c>
      <c r="E76" s="110">
        <f t="shared" si="97"/>
        <v>0</v>
      </c>
      <c r="F76" s="110">
        <f t="shared" si="97"/>
        <v>0</v>
      </c>
      <c r="G76" s="110">
        <f t="shared" si="97"/>
        <v>0</v>
      </c>
      <c r="H76" s="110">
        <f t="shared" si="97"/>
        <v>0</v>
      </c>
      <c r="I76" s="110">
        <f t="shared" si="97"/>
        <v>0</v>
      </c>
      <c r="J76" s="110">
        <f t="shared" si="97"/>
        <v>0</v>
      </c>
      <c r="K76" s="110">
        <f t="shared" si="97"/>
        <v>0</v>
      </c>
      <c r="L76" s="110">
        <f>ROUND((L73*L75*$Q$41)+(N73*L75*$Q$42),0)</f>
        <v>0</v>
      </c>
      <c r="M76" s="110">
        <f>ROUND((M73*M75*$Q$41)+(O73*M75*$Q$42),0)</f>
        <v>0</v>
      </c>
      <c r="N76" s="402"/>
      <c r="O76" s="89"/>
      <c r="P76" s="89"/>
      <c r="Q76" s="161"/>
      <c r="S76" s="53" t="str">
        <f>IF(AND($AD$2&gt;=7,$AD$2&lt;=9),CONCATENATE("Spring ",$AD$3),IF(AND(AD2&gt;=7,AD2&lt;=10),CONCATENATE("Summer ",$AD$3),IF(OR(AD2&gt;=10,AD2&lt;=2),CONCATENATE("Summer ",$AD$3),IF(AND(AD2&gt;=7,AD2&lt;=10),CONCATENATE("Fall ",$AD$3),IF(OR(AD2&gt;=10,AD2&lt;=2),CONCATENATE("Fall ",$AD$3),IF(AND(AD2&gt;=3,AD2&lt;=6),CONCATENATE("Fall ",$AD$3),"N/A"))))))</f>
        <v>Summer 2025</v>
      </c>
      <c r="T76" s="53" t="str">
        <f>IF(AND($AD$2&gt;=7,$AD$2&lt;=9),CONCATENATE("Spring ",$AD$3+1),IF(AND(AD2&gt;=7,AD2&lt;=10),CONCATENATE("Summer ",$AD$3+1),IF(OR(AD2&gt;=10,AD2&lt;=2),CONCATENATE("Summer ",$AD$3+1),IF(AND(AD2&gt;=7,AD2&lt;=10),CONCATENATE("Fall ",$AD$3+1),IF(OR(AD2&gt;=10,AD2&lt;=2),CONCATENATE("Fall ",$AD$3+1),IF(AND(AD2&gt;=3,AD2&lt;=6),CONCATENATE("Fall ",$AD$3+1),"N/A"))))))</f>
        <v>Summer 2026</v>
      </c>
      <c r="U76" s="53" t="str">
        <f>IF(AND($AD$2&gt;=7,$AD$2&lt;=9),CONCATENATE("Spring ",$AD$3+2),IF(AND(AD2&gt;=7,AD2&lt;=10),CONCATENATE("Summer ",$AD$3+2),IF(OR(AD2&gt;=10,AD2&lt;=2),CONCATENATE("Summer ",$AD$3+2),IF(AND(AD2&gt;=7,AD2&lt;=10),CONCATENATE("Fall ",$AD$3+2),IF(OR(AD2&gt;=10,AD2&lt;=2),CONCATENATE("Fall ",$AD$3+2),IF(AND(AD2&gt;=3,AD2&lt;=6),CONCATENATE("Fall ",$AD$3+2),"N/A"))))))</f>
        <v>Summer 2027</v>
      </c>
      <c r="V76" s="53" t="str">
        <f>IF(AND($AD$2&gt;=7,$AD$2&lt;=9),CONCATENATE("Spring ",$AD$3+3),IF(AND(AD2&gt;=7,AD2&lt;=10),CONCATENATE("Summer ",$AD$3+3),IF(OR(AD2&gt;=10,AD2&lt;=2),CONCATENATE("Summer ",$AD$3+3),IF(AND(AD2&gt;=7,AD2&lt;=10),CONCATENATE("Fall ",$AD$3+3),IF(OR(AD2&gt;=10,AD2&lt;=2),CONCATENATE("Fall ",$AD$3+3),IF(AND(AD2&gt;=3,AD2&lt;=6),CONCATENATE("Fall ",$AD$3+3),"N/A"))))))</f>
        <v>Summer 2028</v>
      </c>
      <c r="W76" s="53" t="str">
        <f>IF(AND($AD$2&gt;=7,$AD$2&lt;=9),CONCATENATE("Spring ",$AD$3+4),IF(AND(AD2&gt;=7,AD2&lt;=10),CONCATENATE("Summer ",$AD$3+4),IF(OR(AD2&gt;=10,AD2&lt;=2),CONCATENATE("Summer ",$AD$3+4),IF(AND(AD2&gt;=7,AD2&lt;=10),CONCATENATE("Fall ",$AD$3+4),IF(OR(AD2&gt;=10,AD2&lt;=2),CONCATENATE("Fall ",$AD$3+4),IF(AND(AD2&gt;=3,AD2&lt;=6),CONCATENATE("Fall ",$AD$3+4),"N/A"))))))</f>
        <v>Summer 2029</v>
      </c>
      <c r="X76" s="53" t="str">
        <f>IF(AND($AD$2&gt;=7,$AD$2&lt;=9),CONCATENATE("Spring ",$AD$3+5),IF(AND(AE2&gt;=7,AE2&lt;=10),CONCATENATE("Summer ",$AD$3+5),IF(OR(AE2&gt;=10,AE2&lt;=2),CONCATENATE("Summer ",$AD$3+5),IF(AND(AE2&gt;=7,AE2&lt;=10),CONCATENATE("Fall ",$AD$3+5),IF(OR(AE2&gt;=10,AE2&lt;=2),CONCATENATE("Fall ",$AD$3+5),IF(AND(AE2&gt;=3,AE2&lt;=6),CONCATENATE("Fall ",$AD$3+5),"N/A"))))))</f>
        <v>Summer 2030</v>
      </c>
      <c r="Y76" s="53" t="str">
        <f>IF(AND($AD$2&gt;=7,$AD$2&lt;=9),CONCATENATE("Spring ",$AD$3+6),IF(AND(AF2&gt;=7,AF2&lt;=10),CONCATENATE("Summer ",$AD$3+6),IF(OR(AF2&gt;=10,AF2&lt;=2),CONCATENATE("Summer ",$AD$3+6),IF(AND(AF2&gt;=7,AF2&lt;=10),CONCATENATE("Fall ",$AD$3+6),IF(OR(AF2&gt;=10,AF2&lt;=2),CONCATENATE("Fall ",$AD$3+6),IF(AND(AF2&gt;=3,AF2&lt;=6),CONCATENATE("Fall ",$AD$3+6),"N/A"))))))</f>
        <v>Summer 2031</v>
      </c>
      <c r="Z76" s="53" t="str">
        <f>IF(AND($AD$2&gt;=7,$AD$2&lt;=9),CONCATENATE("Spring ",$AD$3+7),IF(AND(AG2&gt;=7,AG2&lt;=10),CONCATENATE("Summer ",$AD$3+7),IF(OR(AG2&gt;=10,AG2&lt;=2),CONCATENATE("Summer ",$AD$3+7),IF(AND(AG2&gt;=7,AG2&lt;=10),CONCATENATE("Fall ",$AD$3+7),IF(OR(AG2&gt;=10,AG2&lt;=2),CONCATENATE("Fall ",$AD$3+7),IF(AND(AG2&gt;=3,AG2&lt;=6),CONCATENATE("Fall ",$AD$3+7),"N/A"))))))</f>
        <v>Summer 2032</v>
      </c>
      <c r="AA76" s="53" t="str">
        <f>IF(AND($AD$2&gt;=7,$AD$2&lt;=9),CONCATENATE("Spring ",$AD$3+8),IF(AND(AH2&gt;=7,AH2&lt;=10),CONCATENATE("Summer ",$AD$3+8),IF(OR(AH2&gt;=10,AH2&lt;=2),CONCATENATE("Summer ",$AD$3+8),IF(AND(AH2&gt;=7,AH2&lt;=10),CONCATENATE("Fall ",$AD$3+8),IF(OR(AH2&gt;=10,AH2&lt;=2),CONCATENATE("Fall ",$AD$3+8),IF(AND(AH2&gt;=3,AH2&lt;=6),CONCATENATE("Fall ",$AD$3+8),"N/A"))))))</f>
        <v>Summer 2033</v>
      </c>
      <c r="AB76" s="53" t="str">
        <f>IF(AND($AD$2&gt;=7,$AD$2&lt;=9),CONCATENATE("Spring ",$AD$3+9),IF(AND(AI2&gt;=7,AI2&lt;=10),CONCATENATE("Summer ",$AD$3+9),IF(OR(AI2&gt;=10,AI2&lt;=2),CONCATENATE("Summer ",$AD$3+9),IF(AND(AI2&gt;=7,AI2&lt;=10),CONCATENATE("Fall ",$AD$3+9),IF(OR(AI2&gt;=10,AI2&lt;=2),CONCATENATE("Fall ",$AD$3+9),IF(AND(AI2&gt;=3,AI2&lt;=6),CONCATENATE("Fall ",$AD$3+9),"N/A"))))))</f>
        <v>Summer 2034</v>
      </c>
      <c r="AC76" s="53" t="str">
        <f>IF(AND($AD$2&gt;=7,$AD$2&lt;=9),CONCATENATE("Spring ",$AD$3+10),IF(AND(AJ2&gt;=7,AJ2&lt;=10),CONCATENATE("Summer ",$AD$3+10),IF(OR(AJ2&gt;=10,AJ2&lt;=2),CONCATENATE("Summer ",$AD$3+10),IF(AND(AJ2&gt;=7,AJ2&lt;=10),CONCATENATE("Fall ",$AD$3+10),IF(OR(AJ2&gt;=10,AJ2&lt;=2),CONCATENATE("Fall ",$AD$3+10),IF(AND(AJ2&gt;=3,AJ2&lt;=6),CONCATENATE("Fall ",$AD$3+10),"N/A"))))))</f>
        <v>Summer 2035</v>
      </c>
      <c r="AD76" s="53" t="str">
        <f>IF(AND($AD$2&gt;=7,$AD$2&lt;=9),CONCATENATE("Spring ",$AD$3+11),IF(AND(AK2&gt;=7,AK2&lt;=10),CONCATENATE("Summer ",$AD$3+11),IF(OR(AK2&gt;=10,AK2&lt;=2),CONCATENATE("Summer ",$AD$3+11),IF(AND(AK2&gt;=7,AK2&lt;=10),CONCATENATE("Fall ",$AD$3+11),IF(OR(AK2&gt;=10,AK2&lt;=2),CONCATENATE("Fall ",$AD$3+11),IF(AND(AK2&gt;=3,AK2&lt;=6),CONCATENATE("Fall ",$AD$3+11),"N/A"))))))</f>
        <v>Summer 2036</v>
      </c>
    </row>
    <row r="77" spans="1:34" x14ac:dyDescent="0.25">
      <c r="A77" s="141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6"/>
      <c r="P77" s="26"/>
      <c r="Q77" s="162"/>
      <c r="S77" s="53" t="str">
        <f>IF(AND($AD$2&gt;=7,$AD$2&lt;=9),CONCATENATE("Summer ",$AD$3),IF(AND(AD2&gt;=7,AD2&lt;=10),CONCATENATE("Fall ",$AD$3),IF(OR(AD2&gt;=10,AD2&lt;=2),CONCATENATE("Fall ",$AD$3),IF(AND(AD2&gt;=7,AD2&lt;=10),CONCATENATE("Spring",$AD$3+1),IF(OR(AD2&gt;=10,AD2&lt;=2),CONCATENATE("Spring ",$AD$3+1),IF(AND(AD2&gt;=3,AD2&lt;=6),CONCATENATE("Spring ",$AD$3+1),"N/A"))))))</f>
        <v>Fall 2025</v>
      </c>
      <c r="T77" s="53" t="str">
        <f>IF(AND($AD$2&gt;=7,$AD$2&lt;=9),CONCATENATE("Summer ",$AD$3+1),IF(AND(AD2&gt;=7,AD2&lt;=10),CONCATENATE("Fall ",$AD$3+1),IF(OR(AD2&gt;=10,AD2&lt;=2),CONCATENATE("Fall ",$AD$3+1),IF(AND(AD2&gt;=7,AD2&lt;=10),CONCATENATE("Spring",$AD$3+2),IF(OR(AD2&gt;=10,AD2&lt;=2),CONCATENATE("Spring ",$AD$3+2),IF(AND(AD2&gt;=3,AD2&lt;=6),CONCATENATE("Spring ",$AD$3+2),"N/A"))))))</f>
        <v>Fall 2026</v>
      </c>
      <c r="U77" s="53" t="str">
        <f>IF(AND($AD$2&gt;=7,$AD$2&lt;=9),CONCATENATE("Summer ",$AD$3+2),IF(AND(AD2&gt;=7,AD2&lt;=10),CONCATENATE("Fall ",$AD$3+2),IF(OR(AD2&gt;=10,AD2&lt;=2),CONCATENATE("Fall ",$AD$3+2),IF(AND(AD2&gt;=7,AD2&lt;=10),CONCATENATE("Spring",$AD$3+3),IF(OR(AD2&gt;=10,AD2&lt;=2),CONCATENATE("Spring ",$AD$3+3),IF(AND(AD2&gt;=3,AD2&lt;=6),CONCATENATE("Spring ",$AD$3+3),"N/A"))))))</f>
        <v>Fall 2027</v>
      </c>
      <c r="V77" s="53" t="str">
        <f>IF(AND($AD$2&gt;=7,$AD$2&lt;=9),CONCATENATE("Summer ",$AD$3+3),IF(AND(AD2&gt;=7,AD2&lt;=10),CONCATENATE("Fall ",$AD$3+3),IF(OR(AD2&gt;=10,AD2&lt;=2),CONCATENATE("Fall ",$AD$3+3),IF(AND(AD2&gt;=7,AD2&lt;=10),CONCATENATE("Spring",$AD$3+4),IF(OR(AD2&gt;=10,AD2&lt;=2),CONCATENATE("Spring ",$AD$3+4),IF(AND(AD2&gt;=3,AD2&lt;=6),CONCATENATE("Spring ",$AD$3+4),"N/A"))))))</f>
        <v>Fall 2028</v>
      </c>
      <c r="W77" s="53" t="str">
        <f>IF(AND($AD$2&gt;=7,$AD$2&lt;=9),CONCATENATE("Summer ",$AD$3+4),IF(AND(AD2&gt;=7,AD2&lt;=10),CONCATENATE("Fall ",$AD$3+4),IF(OR(AD2&gt;=10,AD2&lt;=2),CONCATENATE("Fall ",$AD$3+4),IF(AND(AD2&gt;=7,AD2&lt;=10),CONCATENATE("Spring",$AD$3+5),IF(OR(AD2&gt;=10,AD2&lt;=2),CONCATENATE("Spring ",$AD$3+5),IF(AND(AD2&gt;=3,AD2&lt;=6),CONCATENATE("Spring ",$AD$3+5),"N/A"))))))</f>
        <v>Fall 2029</v>
      </c>
      <c r="X77" s="53" t="str">
        <f>IF(AND($AD$2&gt;=7,$AD$2&lt;=9),CONCATENATE("Summer ",$AD$3+5),IF(AND(AE2&gt;=7,AE2&lt;=10),CONCATENATE("Fall ",$AD$3+5),IF(OR(AE2&gt;=10,AE2&lt;=2),CONCATENATE("Fall ",$AD$3+5),IF(AND(AE2&gt;=7,AE2&lt;=10),CONCATENATE("Spring",$AD$3+6),IF(OR(AE2&gt;=10,AE2&lt;=2),CONCATENATE("Spring ",$AD$3+6),IF(AND(AE2&gt;=3,AE2&lt;=6),CONCATENATE("Spring ",$AD$3+6),"N/A"))))))</f>
        <v>Fall 2030</v>
      </c>
      <c r="Y77" s="53" t="str">
        <f>IF(AND($AD$2&gt;=7,$AD$2&lt;=9),CONCATENATE("Summer ",$AD$3+6),IF(AND(AF2&gt;=7,AF2&lt;=10),CONCATENATE("Fall ",$AD$3+6),IF(OR(AF2&gt;=10,AF2&lt;=2),CONCATENATE("Fall ",$AD$3+6),IF(AND(AF2&gt;=7,AF2&lt;=10),CONCATENATE("Spring",$AD$3+7),IF(OR(AF2&gt;=10,AF2&lt;=2),CONCATENATE("Spring ",$AD$3+7),IF(AND(AF2&gt;=3,AF2&lt;=6),CONCATENATE("Spring ",$AD$3+7),"N/A"))))))</f>
        <v>Fall 2031</v>
      </c>
      <c r="Z77" s="53" t="str">
        <f>IF(AND($AD$2&gt;=7,$AD$2&lt;=9),CONCATENATE("Summer ",$AD$3+7),IF(AND(AG2&gt;=7,AG2&lt;=10),CONCATENATE("Fall ",$AD$3+7),IF(OR(AG2&gt;=10,AG2&lt;=2),CONCATENATE("Fall ",$AD$3+7),IF(AND(AG2&gt;=7,AG2&lt;=10),CONCATENATE("Spring",$AD$3+8),IF(OR(AG2&gt;=10,AG2&lt;=2),CONCATENATE("Spring ",$AD$3+8),IF(AND(AG2&gt;=3,AG2&lt;=6),CONCATENATE("Spring ",$AD$3+8),"N/A"))))))</f>
        <v>Fall 2032</v>
      </c>
      <c r="AA77" s="53" t="str">
        <f>IF(AND($AD$2&gt;=7,$AD$2&lt;=9),CONCATENATE("Summer ",$AD$3+8),IF(AND(AH2&gt;=7,AH2&lt;=10),CONCATENATE("Fall ",$AD$3+8),IF(OR(AH2&gt;=10,AH2&lt;=2),CONCATENATE("Fall ",$AD$3+8),IF(AND(AH2&gt;=7,AH2&lt;=10),CONCATENATE("Spring",$AD$3+9),IF(OR(AH2&gt;=10,AH2&lt;=2),CONCATENATE("Spring ",$AD$3+9),IF(AND(AH2&gt;=3,AH2&lt;=6),CONCATENATE("Spring ",$AD$3+9),"N/A"))))))</f>
        <v>Fall 2033</v>
      </c>
      <c r="AB77" s="53" t="str">
        <f>IF(AND($AD$2&gt;=7,$AD$2&lt;=9),CONCATENATE("Summer ",$AD$3+9),IF(AND(AI2&gt;=7,AI2&lt;=10),CONCATENATE("Fall ",$AD$3+9),IF(OR(AI2&gt;=10,AI2&lt;=2),CONCATENATE("Fall ",$AD$3+9),IF(AND(AI2&gt;=7,AI2&lt;=10),CONCATENATE("Spring",$AD$3+10),IF(OR(AI2&gt;=10,AI2&lt;=2),CONCATENATE("Spring ",$AD$3+10),IF(AND(AI2&gt;=3,AI2&lt;=6),CONCATENATE("Spring ",$AD$3+10),"N/A"))))))</f>
        <v>Fall 2034</v>
      </c>
      <c r="AC77" s="53" t="str">
        <f>IF(AND($AD$2&gt;=7,$AD$2&lt;=9),CONCATENATE("Summer ",$AD$3+10),IF(AND(AJ2&gt;=7,AJ2&lt;=10),CONCATENATE("Fall ",$AD$3+10),IF(OR(AJ2&gt;=10,AJ2&lt;=2),CONCATENATE("Fall ",$AD$3+10),IF(AND(AJ2&gt;=7,AJ2&lt;=10),CONCATENATE("Spring",$AD$3+11),IF(OR(AJ2&gt;=10,AJ2&lt;=2),CONCATENATE("Spring ",$AD$3+11),IF(AND(AJ2&gt;=3,AJ2&lt;=6),CONCATENATE("Spring ",$AD$3+11),"N/A"))))))</f>
        <v>Fall 2035</v>
      </c>
      <c r="AD77" s="53" t="str">
        <f>IF(AND($AD$2&gt;=7,$AD$2&lt;=9),CONCATENATE("Summer ",$AD$3+11),IF(AND(AK2&gt;=7,AK2&lt;=10),CONCATENATE("Fall ",$AD$3+11),IF(OR(AK2&gt;=10,AK2&lt;=2),CONCATENATE("Fall ",$AD$3+11),IF(AND(AK2&gt;=7,AK2&lt;=11),CONCATENATE("Spring",$AD$3+12),IF(OR(AK2&gt;=10,AK2&lt;=2),CONCATENATE("Spring ",$AD$3+12),IF(AND(AK2&gt;=3,AK2&lt;=6),CONCATENATE("Spring ",$AD$3+12),"N/A"))))))</f>
        <v>Fall 2036</v>
      </c>
    </row>
    <row r="78" spans="1:34" x14ac:dyDescent="0.25">
      <c r="A78" s="141"/>
      <c r="B78" s="104" t="str">
        <f t="shared" ref="B78:L78" si="98">IF(AND(B79=$AE$5,$O80=9),$AE$3,IF(AND(B79=$AF$5,$O80=9),$AF$3,IF(AND(B79=$AG$5,$O80=9),$AG$3,IF(AND(B79=$AH$5,$O80=9),$AH$3,IF(AND(B79=$AI$5,$O80=9),$AI$3,IF(AND(B79=$AJ$5,$O80=9),$AJ$3,IF(AND(B79=$AK$5,$O80=9),$AK$3,IF(AND(B79=$AL$5,$O80=9),$AL$3,IF(AND(B79=$AM$5,$O80=9),$AM$3,IF(AND(B79=$AN$5,$O80=9),$AN$3,IF(AND(B79=$AO$5,$O80=9),$AO$3,IF(AND(B79=$AP$5,$O80=9),$AJ$3,IF(AND(B79=$AE$4,$O80=12),$AE$3,IF(AND(B79=$AF$4,$O80=12),$AF$3,IF(AND(B79=$AG$4,$O80=12),$AG$3,IF(AND(B79=$AH$4,$O80=12),$AH$3,IF(AND(B79=$AI$4,$O80=12),$AI$3,IF(AND(B79=$AJ$4,$O80=12),$AJ$3,IF(AND(B79=$AK$4,$O80=12),$AK$3,IF(AND(B79=$AL$4,$O80=12),$AL$3,IF(AND(B79=$AM$4,$O80=12),$AM$3,IF(AND(B79=$AN$4,$O80=12),$AN$3,IF(AND(B79=$AO$4,$O80=12),$AO$3,IF(AND(B79=$AP$4,$O80=12),$AJ$3," "))))))))))))))))))))))))</f>
        <v>Year 1</v>
      </c>
      <c r="C78" s="104" t="str">
        <f t="shared" si="98"/>
        <v>Year 2</v>
      </c>
      <c r="D78" s="104" t="str">
        <f t="shared" si="98"/>
        <v>Year 3</v>
      </c>
      <c r="E78" s="104" t="str">
        <f t="shared" si="98"/>
        <v>Year 4</v>
      </c>
      <c r="F78" s="104" t="str">
        <f t="shared" si="98"/>
        <v>Year 5</v>
      </c>
      <c r="G78" s="104" t="str">
        <f t="shared" si="98"/>
        <v>Year 6</v>
      </c>
      <c r="H78" s="104" t="str">
        <f t="shared" si="98"/>
        <v>Year 7</v>
      </c>
      <c r="I78" s="104" t="str">
        <f t="shared" si="98"/>
        <v>Year 8</v>
      </c>
      <c r="J78" s="104" t="str">
        <f t="shared" si="98"/>
        <v>Year 9</v>
      </c>
      <c r="K78" s="104" t="str">
        <f t="shared" si="98"/>
        <v>Year 10</v>
      </c>
      <c r="L78" s="104" t="str">
        <f t="shared" si="98"/>
        <v>Year 11</v>
      </c>
      <c r="M78" s="104" t="str">
        <f t="shared" ref="M78" si="99">IF(AND(M79=$AE$5,$O80=9),$AE$3,IF(AND(M79=$AF$5,$O80=9),$AF$3,IF(AND(M79=$AG$5,$O80=9),$AG$3,IF(AND(M79=$AH$5,$O80=9),$AH$3,IF(AND(M79=$AI$5,$O80=9),$AI$3,IF(AND(M79=$AJ$5,$O80=9),$AJ$3,IF(AND(M79=$AK$5,$O80=9),$AK$3,IF(AND(M79=$AL$5,$O80=9),$AL$3,IF(AND(M79=$AM$5,$O80=9),$AM$3,IF(AND(M79=$AN$5,$O80=9),$AN$3,IF(AND(M79=$AO$5,$O80=9),$AO$3,IF(AND(M79=$AP$5,$O80=9),$AJ$3,IF(AND(M79=$AE$4,$O80=12),$AE$3,IF(AND(M79=$AF$4,$O80=12),$AF$3,IF(AND(M79=$AG$4,$O80=12),$AG$3,IF(AND(M79=$AH$4,$O80=12),$AH$3,IF(AND(M79=$AI$4,$O80=12),$AI$3,IF(AND(M79=$AJ$4,$O80=12),$AJ$3,IF(AND(M79=$AK$4,$O80=12),$AK$3,IF(AND(M79=$AL$4,$O80=12),$AL$3,IF(AND(M79=$AM$4,$O80=12),$AM$3,IF(AND(M79=$AN$4,$O80=12),$AN$3,IF(AND(M79=$AO$4,$O80=12),$AO$3,IF(AND(M79=$AP$4,$O80=12),$AJ$3," "))))))))))))))))))))))))</f>
        <v>Year 6</v>
      </c>
      <c r="N78" s="104"/>
      <c r="O78" s="26"/>
      <c r="P78" s="26"/>
      <c r="Q78" s="162"/>
      <c r="S78" s="34" t="str">
        <f t="shared" ref="S78:AD78" si="100">IF(AND($AD$2&gt;=1,$AD$2&lt;=6),CONCATENATE("FY",RIGHT(AE4,4),"&amp;",RIGHT(AF4,2)),IF(AND($AD$2&gt;=7,$AD$2&lt;=9),CONCATENATE("FY",RIGHT(AE4,4)),IF(AND($AD$2&gt;=10,$AD$2&lt;=12),CONCATENATE("FY",RIGHT(AE4,4),"&amp;",RIGHT(AF4,2)),"N/A")))</f>
        <v>FY2025&amp;26</v>
      </c>
      <c r="T78" s="34" t="str">
        <f t="shared" si="100"/>
        <v>FY2026&amp;27</v>
      </c>
      <c r="U78" s="34" t="str">
        <f t="shared" si="100"/>
        <v>FY2027&amp;28</v>
      </c>
      <c r="V78" s="34" t="str">
        <f t="shared" si="100"/>
        <v>FY2028&amp;29</v>
      </c>
      <c r="W78" s="34" t="str">
        <f t="shared" si="100"/>
        <v>FY2029&amp;30</v>
      </c>
      <c r="X78" s="34" t="str">
        <f t="shared" si="100"/>
        <v>FY2030&amp;31</v>
      </c>
      <c r="Y78" s="34" t="str">
        <f t="shared" si="100"/>
        <v>FY2031&amp;32</v>
      </c>
      <c r="Z78" s="34" t="str">
        <f t="shared" si="100"/>
        <v>FY2032&amp;33</v>
      </c>
      <c r="AA78" s="34" t="str">
        <f t="shared" si="100"/>
        <v>FY2033&amp;34</v>
      </c>
      <c r="AB78" s="34" t="str">
        <f t="shared" si="100"/>
        <v>FY2034&amp;35</v>
      </c>
      <c r="AC78" s="34" t="str">
        <f t="shared" si="100"/>
        <v>FY2035&amp;36</v>
      </c>
      <c r="AD78" s="34" t="str">
        <f t="shared" si="100"/>
        <v>FY2036&amp;</v>
      </c>
    </row>
    <row r="79" spans="1:34" ht="15.75" thickBot="1" x14ac:dyDescent="0.3">
      <c r="A79" s="140" t="s">
        <v>74</v>
      </c>
      <c r="B79" s="55" t="str">
        <f t="shared" ref="B79:I79" si="101">+N$2</f>
        <v>FY2025</v>
      </c>
      <c r="C79" s="55" t="str">
        <f t="shared" si="101"/>
        <v>FY2026</v>
      </c>
      <c r="D79" s="55" t="str">
        <f t="shared" si="101"/>
        <v>FY2027</v>
      </c>
      <c r="E79" s="55" t="str">
        <f t="shared" si="101"/>
        <v>FY2028</v>
      </c>
      <c r="F79" s="55" t="str">
        <f t="shared" si="101"/>
        <v>FY2029</v>
      </c>
      <c r="G79" s="55" t="str">
        <f t="shared" si="101"/>
        <v>FY2030</v>
      </c>
      <c r="H79" s="55" t="str">
        <f t="shared" si="101"/>
        <v>FY2031</v>
      </c>
      <c r="I79" s="55" t="str">
        <f t="shared" si="101"/>
        <v>FY2032</v>
      </c>
      <c r="J79" s="55" t="str">
        <f t="shared" ref="J79" si="102">+V$2</f>
        <v>FY2033</v>
      </c>
      <c r="K79" s="55" t="str">
        <f t="shared" ref="K79" si="103">+W$2</f>
        <v>FY2034</v>
      </c>
      <c r="L79" s="55" t="str">
        <f t="shared" ref="L79:M79" si="104">+X$2</f>
        <v>FY2035</v>
      </c>
      <c r="M79" s="55" t="str">
        <f t="shared" si="104"/>
        <v>FY2036</v>
      </c>
      <c r="N79" s="55"/>
      <c r="O79" s="32" t="s">
        <v>20</v>
      </c>
      <c r="P79" s="89"/>
      <c r="Q79" s="161"/>
      <c r="R79" s="422" t="s">
        <v>71</v>
      </c>
      <c r="S79" s="50" t="s">
        <v>1</v>
      </c>
      <c r="T79" s="51" t="s">
        <v>2</v>
      </c>
      <c r="U79" s="51" t="s">
        <v>3</v>
      </c>
      <c r="V79" s="51" t="s">
        <v>39</v>
      </c>
      <c r="W79" s="51" t="s">
        <v>45</v>
      </c>
      <c r="X79" s="51" t="s">
        <v>183</v>
      </c>
      <c r="Y79" s="51" t="s">
        <v>184</v>
      </c>
      <c r="Z79" s="51" t="s">
        <v>185</v>
      </c>
      <c r="AA79" s="51" t="s">
        <v>186</v>
      </c>
      <c r="AB79" s="51" t="s">
        <v>187</v>
      </c>
      <c r="AC79" s="51" t="s">
        <v>188</v>
      </c>
      <c r="AD79" s="51" t="s">
        <v>189</v>
      </c>
    </row>
    <row r="80" spans="1:34" x14ac:dyDescent="0.25">
      <c r="A80" s="141" t="str">
        <f>CONCATENATE("Base Salary: ",O80," month term")</f>
        <v>Base Salary: 12 month term</v>
      </c>
      <c r="B80" s="62">
        <v>47476</v>
      </c>
      <c r="C80" s="445">
        <f t="shared" ref="C80:M80" si="105">ROUND(+B80*(1+(HLOOKUP(C79,FringeAndIDCRates,11,FALSE))),0)</f>
        <v>49138</v>
      </c>
      <c r="D80" s="445">
        <f t="shared" si="105"/>
        <v>50760</v>
      </c>
      <c r="E80" s="445">
        <f t="shared" si="105"/>
        <v>52283</v>
      </c>
      <c r="F80" s="445">
        <f t="shared" si="105"/>
        <v>53851</v>
      </c>
      <c r="G80" s="445">
        <f t="shared" si="105"/>
        <v>55467</v>
      </c>
      <c r="H80" s="445">
        <f t="shared" si="105"/>
        <v>57131</v>
      </c>
      <c r="I80" s="445">
        <f t="shared" si="105"/>
        <v>58845</v>
      </c>
      <c r="J80" s="445">
        <f t="shared" si="105"/>
        <v>60610</v>
      </c>
      <c r="K80" s="445">
        <f t="shared" si="105"/>
        <v>62428</v>
      </c>
      <c r="L80" s="445">
        <f t="shared" si="105"/>
        <v>64301</v>
      </c>
      <c r="M80" s="445">
        <f t="shared" si="105"/>
        <v>66230</v>
      </c>
      <c r="N80" s="109"/>
      <c r="O80" s="317">
        <v>12</v>
      </c>
      <c r="P80" s="311"/>
      <c r="Q80" s="163"/>
      <c r="R80" s="61" t="str">
        <f>CONCATENATE("Number of Students ",IF(AND($AD$2&gt;=7,$AD$2&lt;=9),CONCATENATE("(Fall)"),IF(AND($AD$2&gt;=7,$AD$2&lt;=10),CONCATENATE("(Spring)"),IF(OR($AD$2&gt;=10,$AD$2&lt;=2),CONCATENATE("(Spring)"),IF(AND($AD$2&gt;=7,$AD$2&lt;=10),CONCATENATE("(Summer)"),IF(OR($AD$2&gt;=10,$AD$2&lt;=2),CONCATENATE("(Summer)"),IF(AND($AD$2&gt;=3,$AD$2&lt;=6),CONCATENATE("(Summer)"),"N/A")))))))</f>
        <v>Number of Students (Spring)</v>
      </c>
      <c r="S80" s="60">
        <f t="shared" ref="S80:X82" si="106">+B86</f>
        <v>0</v>
      </c>
      <c r="T80" s="60">
        <f t="shared" si="106"/>
        <v>0</v>
      </c>
      <c r="U80" s="60">
        <f t="shared" si="106"/>
        <v>0</v>
      </c>
      <c r="V80" s="60">
        <f t="shared" si="106"/>
        <v>0</v>
      </c>
      <c r="W80" s="60">
        <f t="shared" si="106"/>
        <v>0</v>
      </c>
      <c r="X80" s="60">
        <f t="shared" si="106"/>
        <v>0</v>
      </c>
      <c r="Y80" s="60">
        <f t="shared" ref="Y80:AD80" si="107">+H86</f>
        <v>0</v>
      </c>
      <c r="Z80" s="60">
        <f t="shared" si="107"/>
        <v>0</v>
      </c>
      <c r="AA80" s="60">
        <f t="shared" si="107"/>
        <v>0</v>
      </c>
      <c r="AB80" s="60">
        <f t="shared" si="107"/>
        <v>0</v>
      </c>
      <c r="AC80" s="60">
        <f t="shared" si="107"/>
        <v>0</v>
      </c>
      <c r="AD80" s="60">
        <f t="shared" si="107"/>
        <v>0</v>
      </c>
    </row>
    <row r="81" spans="1:30" x14ac:dyDescent="0.25">
      <c r="A81" s="141" t="s">
        <v>44</v>
      </c>
      <c r="B81" s="312">
        <v>0</v>
      </c>
      <c r="C81" s="312">
        <v>0</v>
      </c>
      <c r="D81" s="312">
        <v>0</v>
      </c>
      <c r="E81" s="312">
        <v>0</v>
      </c>
      <c r="F81" s="312">
        <v>0</v>
      </c>
      <c r="G81" s="312">
        <v>0</v>
      </c>
      <c r="H81" s="312">
        <v>0</v>
      </c>
      <c r="I81" s="312">
        <v>0</v>
      </c>
      <c r="J81" s="312">
        <v>0</v>
      </c>
      <c r="K81" s="312">
        <v>0</v>
      </c>
      <c r="L81" s="312">
        <v>0</v>
      </c>
      <c r="M81" s="312">
        <v>0</v>
      </c>
      <c r="N81" s="400"/>
      <c r="O81" s="25"/>
      <c r="P81" s="25"/>
      <c r="Q81" s="141"/>
      <c r="R81" s="115" t="str">
        <f>CONCATENATE("Number of Students ",IF(AND($AD$2&gt;=7,$AD$2&lt;=9),CONCATENATE("(Spring)"),IF(AND($AD$2&gt;=7,$AD$2&lt;=10),CONCATENATE("(Summer)"),IF(OR($AD$2&gt;=10,$AD$2&lt;=2),CONCATENATE("(Summer)"),IF(AND($AD$2&gt;=7,$AD$2&lt;=10),CONCATENATE("(Fall)"),IF(OR($AD$2&gt;=10,$AD$2&lt;=2),CONCATENATE("(Fall) "),IF(AND($AD$2&gt;=3,$AD$2&lt;=6),CONCATENATE("(Fall)"),"N/A")))))))</f>
        <v>Number of Students (Summer)</v>
      </c>
      <c r="S81" s="60">
        <f t="shared" si="106"/>
        <v>0</v>
      </c>
      <c r="T81" s="60">
        <f t="shared" si="106"/>
        <v>0</v>
      </c>
      <c r="U81" s="60">
        <f t="shared" si="106"/>
        <v>0</v>
      </c>
      <c r="V81" s="60">
        <f t="shared" si="106"/>
        <v>0</v>
      </c>
      <c r="W81" s="60">
        <f t="shared" si="106"/>
        <v>0</v>
      </c>
      <c r="X81" s="60">
        <f t="shared" si="106"/>
        <v>0</v>
      </c>
      <c r="Y81" s="60">
        <f t="shared" ref="Y81:AD81" si="108">+H87</f>
        <v>0</v>
      </c>
      <c r="Z81" s="60">
        <f t="shared" si="108"/>
        <v>0</v>
      </c>
      <c r="AA81" s="60">
        <f t="shared" si="108"/>
        <v>0</v>
      </c>
      <c r="AB81" s="60">
        <f t="shared" si="108"/>
        <v>0</v>
      </c>
      <c r="AC81" s="60">
        <f t="shared" si="108"/>
        <v>0</v>
      </c>
      <c r="AD81" s="60">
        <f t="shared" si="108"/>
        <v>0</v>
      </c>
    </row>
    <row r="82" spans="1:30" x14ac:dyDescent="0.25">
      <c r="A82" s="141" t="str">
        <f>CONCATENATE("FTE for ",O80," Months")</f>
        <v>FTE for 12 Months</v>
      </c>
      <c r="B82" s="393">
        <f t="shared" ref="B82:L82" si="109">+B81/$O80</f>
        <v>0</v>
      </c>
      <c r="C82" s="393">
        <f t="shared" si="109"/>
        <v>0</v>
      </c>
      <c r="D82" s="393">
        <f t="shared" si="109"/>
        <v>0</v>
      </c>
      <c r="E82" s="393">
        <f t="shared" si="109"/>
        <v>0</v>
      </c>
      <c r="F82" s="393">
        <f t="shared" si="109"/>
        <v>0</v>
      </c>
      <c r="G82" s="393">
        <f t="shared" si="109"/>
        <v>0</v>
      </c>
      <c r="H82" s="393">
        <f t="shared" si="109"/>
        <v>0</v>
      </c>
      <c r="I82" s="393">
        <f t="shared" si="109"/>
        <v>0</v>
      </c>
      <c r="J82" s="393">
        <f t="shared" si="109"/>
        <v>0</v>
      </c>
      <c r="K82" s="393">
        <f t="shared" si="109"/>
        <v>0</v>
      </c>
      <c r="L82" s="393">
        <f t="shared" si="109"/>
        <v>0</v>
      </c>
      <c r="M82" s="393">
        <f t="shared" ref="M82" si="110">+M81/$O80</f>
        <v>0</v>
      </c>
      <c r="N82" s="401"/>
      <c r="O82" s="89"/>
      <c r="P82" s="89"/>
      <c r="Q82" s="161"/>
      <c r="R82" s="115" t="str">
        <f>CONCATENATE("Number of Students ",IF(AND($AD$2&gt;=7,$AD$2&lt;=9),CONCATENATE("(Summer)"),IF(AND($AD$2&gt;=7,$AD$2&lt;=10),CONCATENATE("(Fall)"),IF(OR($AD$2&gt;=10,$AD$2&lt;=2),CONCATENATE("(Fall)"),IF(AND($AD$2&gt;=7,$AD$2&lt;=10),CONCATENATE("(Spring)"),IF(OR($AD$2&gt;=10,$AD$2&lt;=2),CONCATENATE("(Spring)"),IF(AND($AD$2&gt;=3,$AD$2&lt;=6),CONCATENATE("(Spring)"),"N/A")))))))</f>
        <v>Number of Students (Fall)</v>
      </c>
      <c r="S82" s="60">
        <f t="shared" si="106"/>
        <v>0</v>
      </c>
      <c r="T82" s="60">
        <f t="shared" si="106"/>
        <v>0</v>
      </c>
      <c r="U82" s="60">
        <f t="shared" si="106"/>
        <v>0</v>
      </c>
      <c r="V82" s="60">
        <f t="shared" si="106"/>
        <v>0</v>
      </c>
      <c r="W82" s="60">
        <f t="shared" si="106"/>
        <v>0</v>
      </c>
      <c r="X82" s="60">
        <f t="shared" si="106"/>
        <v>0</v>
      </c>
      <c r="Y82" s="60">
        <f t="shared" ref="Y82:AD82" si="111">+H88</f>
        <v>0</v>
      </c>
      <c r="Z82" s="60">
        <f t="shared" si="111"/>
        <v>0</v>
      </c>
      <c r="AA82" s="60">
        <f t="shared" si="111"/>
        <v>0</v>
      </c>
      <c r="AB82" s="60">
        <f t="shared" si="111"/>
        <v>0</v>
      </c>
      <c r="AC82" s="60">
        <f t="shared" si="111"/>
        <v>0</v>
      </c>
      <c r="AD82" s="60">
        <f t="shared" si="111"/>
        <v>0</v>
      </c>
    </row>
    <row r="83" spans="1:30" x14ac:dyDescent="0.25">
      <c r="A83" s="141" t="s">
        <v>21</v>
      </c>
      <c r="B83" s="110">
        <f t="shared" ref="B83:K83" si="112">ROUND((B80*B82*$Q$41)+(C80*B82*$Q$42),0)</f>
        <v>0</v>
      </c>
      <c r="C83" s="110">
        <f t="shared" si="112"/>
        <v>0</v>
      </c>
      <c r="D83" s="110">
        <f t="shared" si="112"/>
        <v>0</v>
      </c>
      <c r="E83" s="110">
        <f t="shared" si="112"/>
        <v>0</v>
      </c>
      <c r="F83" s="110">
        <f t="shared" si="112"/>
        <v>0</v>
      </c>
      <c r="G83" s="110">
        <f t="shared" si="112"/>
        <v>0</v>
      </c>
      <c r="H83" s="110">
        <f t="shared" si="112"/>
        <v>0</v>
      </c>
      <c r="I83" s="110">
        <f t="shared" si="112"/>
        <v>0</v>
      </c>
      <c r="J83" s="110">
        <f t="shared" si="112"/>
        <v>0</v>
      </c>
      <c r="K83" s="110">
        <f t="shared" si="112"/>
        <v>0</v>
      </c>
      <c r="L83" s="110">
        <f>ROUND((L80*L82*$Q$41)+(O80*L82*$Q$42),0)</f>
        <v>0</v>
      </c>
      <c r="M83" s="110">
        <f>ROUND((M80*M82*$Q$41)+(P80*M82*$Q$42),0)</f>
        <v>0</v>
      </c>
      <c r="N83" s="402"/>
      <c r="O83" s="89"/>
      <c r="P83" s="89"/>
      <c r="Q83" s="161"/>
      <c r="R83" s="25"/>
      <c r="S83" s="33"/>
      <c r="T83" s="33"/>
      <c r="U83" s="33"/>
      <c r="V83" s="33"/>
      <c r="W83" s="33"/>
      <c r="X83" s="33"/>
      <c r="Y83" s="23"/>
    </row>
    <row r="84" spans="1:30" x14ac:dyDescent="0.25">
      <c r="A84" s="141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89"/>
      <c r="P84" s="89"/>
      <c r="Q84" s="161"/>
      <c r="R84" s="25"/>
      <c r="S84" s="33"/>
      <c r="T84" s="33"/>
      <c r="U84" s="33"/>
      <c r="V84" s="33"/>
      <c r="W84" s="33"/>
      <c r="X84" s="33"/>
      <c r="Y84" s="23"/>
    </row>
    <row r="85" spans="1:30" ht="15.75" thickBot="1" x14ac:dyDescent="0.3">
      <c r="A85" s="140" t="s">
        <v>70</v>
      </c>
      <c r="B85" s="24" t="s">
        <v>1</v>
      </c>
      <c r="C85" s="24" t="s">
        <v>2</v>
      </c>
      <c r="D85" s="24" t="s">
        <v>3</v>
      </c>
      <c r="E85" s="24" t="s">
        <v>39</v>
      </c>
      <c r="F85" s="24" t="s">
        <v>45</v>
      </c>
      <c r="G85" s="24" t="s">
        <v>183</v>
      </c>
      <c r="H85" s="24" t="s">
        <v>184</v>
      </c>
      <c r="I85" s="24" t="s">
        <v>185</v>
      </c>
      <c r="J85" s="24" t="s">
        <v>186</v>
      </c>
      <c r="K85" s="24" t="s">
        <v>187</v>
      </c>
      <c r="L85" s="24"/>
      <c r="M85" s="24"/>
      <c r="N85" s="23"/>
      <c r="O85" s="89"/>
      <c r="P85" s="89"/>
      <c r="Q85" s="161"/>
      <c r="R85" s="422" t="s">
        <v>105</v>
      </c>
      <c r="S85" s="50" t="s">
        <v>1</v>
      </c>
      <c r="T85" s="51" t="s">
        <v>2</v>
      </c>
      <c r="U85" s="51" t="s">
        <v>3</v>
      </c>
      <c r="V85" s="51" t="s">
        <v>39</v>
      </c>
      <c r="W85" s="51" t="s">
        <v>45</v>
      </c>
      <c r="X85" s="51" t="s">
        <v>183</v>
      </c>
      <c r="Y85" s="51" t="s">
        <v>184</v>
      </c>
      <c r="Z85" s="51" t="s">
        <v>185</v>
      </c>
      <c r="AA85" s="51" t="s">
        <v>186</v>
      </c>
      <c r="AB85" s="51" t="s">
        <v>187</v>
      </c>
    </row>
    <row r="86" spans="1:30" x14ac:dyDescent="0.25">
      <c r="A86" s="141" t="str">
        <f>+R80</f>
        <v>Number of Students (Spring)</v>
      </c>
      <c r="B86" s="314">
        <v>0</v>
      </c>
      <c r="C86" s="314">
        <v>0</v>
      </c>
      <c r="D86" s="314">
        <v>0</v>
      </c>
      <c r="E86" s="314">
        <v>0</v>
      </c>
      <c r="F86" s="314">
        <v>0</v>
      </c>
      <c r="G86" s="314">
        <v>0</v>
      </c>
      <c r="H86" s="314">
        <v>0</v>
      </c>
      <c r="I86" s="314">
        <v>0</v>
      </c>
      <c r="J86" s="314">
        <v>0</v>
      </c>
      <c r="K86" s="314">
        <v>0</v>
      </c>
      <c r="L86" s="23"/>
      <c r="M86" s="23"/>
      <c r="N86" s="23"/>
      <c r="O86" s="89"/>
      <c r="P86" s="89"/>
      <c r="Q86" s="161"/>
      <c r="R86" s="36" t="s">
        <v>22</v>
      </c>
      <c r="S86" s="37">
        <f t="shared" ref="S86:X86" si="113">SUM(S96:S98)</f>
        <v>0</v>
      </c>
      <c r="T86" s="37">
        <f t="shared" si="113"/>
        <v>0</v>
      </c>
      <c r="U86" s="37">
        <f t="shared" si="113"/>
        <v>0</v>
      </c>
      <c r="V86" s="37">
        <f t="shared" si="113"/>
        <v>0</v>
      </c>
      <c r="W86" s="37">
        <f t="shared" si="113"/>
        <v>0</v>
      </c>
      <c r="X86" s="37">
        <f t="shared" si="113"/>
        <v>0</v>
      </c>
      <c r="Y86" s="37">
        <f t="shared" ref="Y86:AB86" si="114">SUM(Y96:Y98)</f>
        <v>0</v>
      </c>
      <c r="Z86" s="37">
        <f t="shared" si="114"/>
        <v>0</v>
      </c>
      <c r="AA86" s="37">
        <f t="shared" si="114"/>
        <v>0</v>
      </c>
      <c r="AB86" s="37">
        <f t="shared" si="114"/>
        <v>0</v>
      </c>
    </row>
    <row r="87" spans="1:30" x14ac:dyDescent="0.25">
      <c r="A87" s="141" t="str">
        <f>+R81</f>
        <v>Number of Students (Summer)</v>
      </c>
      <c r="B87" s="315">
        <f t="shared" ref="B87:C87" si="115">+B86</f>
        <v>0</v>
      </c>
      <c r="C87" s="315">
        <f t="shared" si="115"/>
        <v>0</v>
      </c>
      <c r="D87" s="315">
        <f t="shared" ref="D87:G87" si="116">+D86</f>
        <v>0</v>
      </c>
      <c r="E87" s="315">
        <f t="shared" si="116"/>
        <v>0</v>
      </c>
      <c r="F87" s="315">
        <f t="shared" si="116"/>
        <v>0</v>
      </c>
      <c r="G87" s="315">
        <f t="shared" si="116"/>
        <v>0</v>
      </c>
      <c r="H87" s="315">
        <f t="shared" ref="H87" si="117">+H86</f>
        <v>0</v>
      </c>
      <c r="I87" s="315">
        <f t="shared" ref="I87" si="118">+I86</f>
        <v>0</v>
      </c>
      <c r="J87" s="315">
        <f t="shared" ref="J87" si="119">+J86</f>
        <v>0</v>
      </c>
      <c r="K87" s="315">
        <f t="shared" ref="K87" si="120">+K86</f>
        <v>0</v>
      </c>
      <c r="L87" s="23"/>
      <c r="M87" s="23"/>
      <c r="N87" s="23"/>
      <c r="O87" s="89"/>
      <c r="P87" s="89"/>
      <c r="Q87" s="161"/>
      <c r="R87" s="36" t="s">
        <v>8</v>
      </c>
      <c r="S87" s="37">
        <f t="shared" ref="S87:X87" si="121">SUM(S99:S101)</f>
        <v>0</v>
      </c>
      <c r="T87" s="37">
        <f t="shared" si="121"/>
        <v>0</v>
      </c>
      <c r="U87" s="37">
        <f t="shared" si="121"/>
        <v>0</v>
      </c>
      <c r="V87" s="37">
        <f t="shared" si="121"/>
        <v>0</v>
      </c>
      <c r="W87" s="37">
        <f t="shared" si="121"/>
        <v>0</v>
      </c>
      <c r="X87" s="37">
        <f t="shared" si="121"/>
        <v>0</v>
      </c>
      <c r="Y87" s="37">
        <f t="shared" ref="Y87:AB87" si="122">SUM(Y99:Y101)</f>
        <v>0</v>
      </c>
      <c r="Z87" s="37">
        <f t="shared" si="122"/>
        <v>0</v>
      </c>
      <c r="AA87" s="37">
        <f t="shared" si="122"/>
        <v>0</v>
      </c>
      <c r="AB87" s="37">
        <f t="shared" si="122"/>
        <v>0</v>
      </c>
    </row>
    <row r="88" spans="1:30" x14ac:dyDescent="0.25">
      <c r="A88" s="141" t="str">
        <f>+R82</f>
        <v>Number of Students (Fall)</v>
      </c>
      <c r="B88" s="315">
        <f t="shared" ref="B88:C88" si="123">+B86</f>
        <v>0</v>
      </c>
      <c r="C88" s="315">
        <f t="shared" si="123"/>
        <v>0</v>
      </c>
      <c r="D88" s="315">
        <f t="shared" ref="D88:G88" si="124">+D86</f>
        <v>0</v>
      </c>
      <c r="E88" s="315">
        <f t="shared" si="124"/>
        <v>0</v>
      </c>
      <c r="F88" s="315">
        <f t="shared" si="124"/>
        <v>0</v>
      </c>
      <c r="G88" s="315">
        <f t="shared" si="124"/>
        <v>0</v>
      </c>
      <c r="H88" s="315">
        <f t="shared" ref="H88:K88" si="125">+H86</f>
        <v>0</v>
      </c>
      <c r="I88" s="315">
        <f t="shared" si="125"/>
        <v>0</v>
      </c>
      <c r="J88" s="315">
        <f t="shared" si="125"/>
        <v>0</v>
      </c>
      <c r="K88" s="315">
        <f t="shared" si="125"/>
        <v>0</v>
      </c>
      <c r="L88" s="23"/>
      <c r="M88" s="23"/>
      <c r="N88" s="23"/>
      <c r="O88" s="89"/>
      <c r="P88" s="89"/>
      <c r="Q88" s="161"/>
      <c r="R88" s="36" t="s">
        <v>9</v>
      </c>
      <c r="S88" s="37">
        <f t="shared" ref="S88:X88" si="126">SUM(S102:S104)</f>
        <v>0</v>
      </c>
      <c r="T88" s="37">
        <f t="shared" si="126"/>
        <v>0</v>
      </c>
      <c r="U88" s="37">
        <f t="shared" si="126"/>
        <v>0</v>
      </c>
      <c r="V88" s="37">
        <f t="shared" si="126"/>
        <v>0</v>
      </c>
      <c r="W88" s="37">
        <f t="shared" si="126"/>
        <v>0</v>
      </c>
      <c r="X88" s="37">
        <f t="shared" si="126"/>
        <v>0</v>
      </c>
      <c r="Y88" s="37">
        <f t="shared" ref="Y88:AB88" si="127">SUM(Y102:Y104)</f>
        <v>0</v>
      </c>
      <c r="Z88" s="37">
        <f t="shared" si="127"/>
        <v>0</v>
      </c>
      <c r="AA88" s="37">
        <f t="shared" si="127"/>
        <v>0</v>
      </c>
      <c r="AB88" s="37">
        <f t="shared" si="127"/>
        <v>0</v>
      </c>
    </row>
    <row r="89" spans="1:30" ht="15.75" thickBot="1" x14ac:dyDescent="0.3">
      <c r="A89" s="141"/>
      <c r="B89" s="63"/>
      <c r="C89" s="63"/>
      <c r="D89" s="63"/>
      <c r="E89" s="63"/>
      <c r="F89" s="63"/>
      <c r="G89" s="23"/>
      <c r="H89" s="23"/>
      <c r="I89" s="23"/>
      <c r="J89" s="23"/>
      <c r="K89" s="23"/>
      <c r="L89" s="23"/>
      <c r="M89" s="23"/>
      <c r="N89" s="23"/>
      <c r="O89" s="89"/>
      <c r="P89" s="89"/>
      <c r="Q89" s="161"/>
      <c r="R89" s="38" t="s">
        <v>31</v>
      </c>
      <c r="S89" s="39">
        <f t="shared" ref="S89:X89" si="128">SUM(S86:S88)</f>
        <v>0</v>
      </c>
      <c r="T89" s="39">
        <f t="shared" si="128"/>
        <v>0</v>
      </c>
      <c r="U89" s="39">
        <f t="shared" si="128"/>
        <v>0</v>
      </c>
      <c r="V89" s="39">
        <f t="shared" si="128"/>
        <v>0</v>
      </c>
      <c r="W89" s="39">
        <f t="shared" si="128"/>
        <v>0</v>
      </c>
      <c r="X89" s="39">
        <f t="shared" si="128"/>
        <v>0</v>
      </c>
      <c r="Y89" s="39">
        <f t="shared" ref="Y89" si="129">SUM(Y86:Y88)</f>
        <v>0</v>
      </c>
      <c r="Z89" s="39">
        <f t="shared" ref="Z89" si="130">SUM(Z86:Z88)</f>
        <v>0</v>
      </c>
      <c r="AA89" s="39">
        <f t="shared" ref="AA89" si="131">SUM(AA86:AA88)</f>
        <v>0</v>
      </c>
      <c r="AB89" s="39">
        <f t="shared" ref="AB89" si="132">SUM(AB86:AB88)</f>
        <v>0</v>
      </c>
    </row>
    <row r="90" spans="1:30" x14ac:dyDescent="0.25">
      <c r="A90" s="140" t="s">
        <v>73</v>
      </c>
      <c r="B90" s="24" t="s">
        <v>1</v>
      </c>
      <c r="C90" s="24" t="s">
        <v>2</v>
      </c>
      <c r="D90" s="24" t="s">
        <v>3</v>
      </c>
      <c r="E90" s="24" t="s">
        <v>39</v>
      </c>
      <c r="F90" s="24" t="s">
        <v>45</v>
      </c>
      <c r="G90" s="24" t="s">
        <v>183</v>
      </c>
      <c r="H90" s="24" t="s">
        <v>184</v>
      </c>
      <c r="I90" s="24" t="s">
        <v>185</v>
      </c>
      <c r="J90" s="24" t="s">
        <v>186</v>
      </c>
      <c r="K90" s="24" t="s">
        <v>187</v>
      </c>
      <c r="Q90" s="143"/>
      <c r="S90" s="116"/>
      <c r="Y90" s="23"/>
    </row>
    <row r="91" spans="1:30" x14ac:dyDescent="0.25">
      <c r="A91" s="141" t="s">
        <v>69</v>
      </c>
      <c r="B91" s="312">
        <f>Minimum_Undergraduate_rate</f>
        <v>15</v>
      </c>
      <c r="C91" s="312">
        <f>+B91</f>
        <v>15</v>
      </c>
      <c r="D91" s="312">
        <f t="shared" ref="D91:G91" si="133">+C91</f>
        <v>15</v>
      </c>
      <c r="E91" s="312">
        <f t="shared" si="133"/>
        <v>15</v>
      </c>
      <c r="F91" s="312">
        <f t="shared" si="133"/>
        <v>15</v>
      </c>
      <c r="G91" s="312">
        <f t="shared" si="133"/>
        <v>15</v>
      </c>
      <c r="H91" s="312">
        <f t="shared" ref="H91" si="134">+G91</f>
        <v>15</v>
      </c>
      <c r="I91" s="312">
        <f t="shared" ref="I91" si="135">+H91</f>
        <v>15</v>
      </c>
      <c r="J91" s="312">
        <f t="shared" ref="J91" si="136">+I91</f>
        <v>15</v>
      </c>
      <c r="K91" s="312">
        <f t="shared" ref="K91" si="137">+J91</f>
        <v>15</v>
      </c>
      <c r="Q91" s="143"/>
      <c r="Y91" s="23"/>
    </row>
    <row r="92" spans="1:30" x14ac:dyDescent="0.25">
      <c r="A92" s="141" t="s">
        <v>60</v>
      </c>
      <c r="B92" s="316">
        <v>0</v>
      </c>
      <c r="C92" s="316">
        <v>0</v>
      </c>
      <c r="D92" s="316">
        <v>0</v>
      </c>
      <c r="E92" s="316">
        <v>0</v>
      </c>
      <c r="F92" s="316">
        <v>0</v>
      </c>
      <c r="G92" s="316">
        <v>0</v>
      </c>
      <c r="H92" s="316">
        <v>0</v>
      </c>
      <c r="I92" s="316">
        <v>0</v>
      </c>
      <c r="J92" s="316">
        <v>0</v>
      </c>
      <c r="K92" s="316">
        <v>0</v>
      </c>
      <c r="Q92" s="143"/>
      <c r="R92" s="117"/>
      <c r="S92" s="53" t="str">
        <f>CONCATENATE("FY",$AD$3)</f>
        <v>FY2025</v>
      </c>
      <c r="T92" s="53" t="str">
        <f>CONCATENATE("FY",$AD$3+1)</f>
        <v>FY2026</v>
      </c>
      <c r="U92" s="53" t="str">
        <f>CONCATENATE("FY",$AD$3+2)</f>
        <v>FY2027</v>
      </c>
      <c r="V92" s="53" t="str">
        <f>CONCATENATE("FY",$AD$3+3)</f>
        <v>FY2028</v>
      </c>
      <c r="W92" s="53" t="str">
        <f>CONCATENATE("FY",$AD$3+4)</f>
        <v>FY2029</v>
      </c>
      <c r="X92" s="53" t="str">
        <f>CONCATENATE("FY",$AD$3+5)</f>
        <v>FY2030</v>
      </c>
      <c r="Y92" s="53" t="str">
        <f>CONCATENATE("FY",$AD$3+6)</f>
        <v>FY2031</v>
      </c>
      <c r="Z92" s="53" t="str">
        <f>CONCATENATE("FY",$AD$3+7)</f>
        <v>FY2032</v>
      </c>
      <c r="AA92" s="53" t="str">
        <f>CONCATENATE("FY",$AD$3+8)</f>
        <v>FY2033</v>
      </c>
      <c r="AB92" s="53" t="str">
        <f>CONCATENATE("FY",$AD$3+9)</f>
        <v>FY2034</v>
      </c>
    </row>
    <row r="93" spans="1:30" x14ac:dyDescent="0.25">
      <c r="A93" s="141" t="s">
        <v>61</v>
      </c>
      <c r="B93" s="316">
        <v>0</v>
      </c>
      <c r="C93" s="316">
        <v>0</v>
      </c>
      <c r="D93" s="316">
        <v>0</v>
      </c>
      <c r="E93" s="316">
        <v>0</v>
      </c>
      <c r="F93" s="316">
        <v>0</v>
      </c>
      <c r="G93" s="316">
        <v>0</v>
      </c>
      <c r="H93" s="316">
        <v>0</v>
      </c>
      <c r="I93" s="316">
        <v>0</v>
      </c>
      <c r="J93" s="316">
        <v>0</v>
      </c>
      <c r="K93" s="316">
        <v>0</v>
      </c>
      <c r="Q93" s="143"/>
      <c r="R93" s="118"/>
      <c r="S93" s="53" t="str">
        <f>IF(OR($AD$2&gt;=7,$AD$2&lt;=2),CONCATENATE("FY",$AD$3),IF(AND($AD$2&gt;=3,$AD$2&lt;=6),CONCATENATE("FY",$AD$3+1),"N/A"))</f>
        <v>FY2025</v>
      </c>
      <c r="T93" s="53" t="str">
        <f>IF(OR($AD$2&gt;=7,$AD$2&lt;=2),CONCATENATE("FY",$AD$3+1),IF(AND($AD$2&gt;=3,$AD$2&lt;=6),CONCATENATE("FY",$AD$3+2),"N/A"))</f>
        <v>FY2026</v>
      </c>
      <c r="U93" s="53" t="str">
        <f>IF(OR($AD$2&gt;=7,$AD$2&lt;=2),CONCATENATE("FY",$AD$3+2),IF(AND($AD$2&gt;=3,$AD$2&lt;=6),CONCATENATE("FY",$AD$3+3),"N/A"))</f>
        <v>FY2027</v>
      </c>
      <c r="V93" s="53" t="str">
        <f>IF(OR($AD$2&gt;=7,$AD$2&lt;=2),CONCATENATE("FY",$AD$3+3),IF(AND($AD$2&gt;=3,$AD$2&lt;=6),CONCATENATE("FY",$AD$3+4),"N/A"))</f>
        <v>FY2028</v>
      </c>
      <c r="W93" s="53" t="str">
        <f>IF(OR($AD$2&gt;=7,$AD$2&lt;=2),CONCATENATE("FY",$AD$3+4),IF(AND($AD$2&gt;=3,$AD$2&lt;=6),CONCATENATE("FY",$AD$3+5),"N/A"))</f>
        <v>FY2029</v>
      </c>
      <c r="X93" s="53" t="str">
        <f>IF(OR($AD$2&gt;=7,$AD$2&lt;=2),CONCATENATE("FY",$AD$3+5),IF(AND($AD$2&gt;=3,$AD$2&lt;=6),CONCATENATE("FY",$AD$3+6),"N/A"))</f>
        <v>FY2030</v>
      </c>
      <c r="Y93" s="53" t="str">
        <f>IF(OR($AD$2&gt;=7,$AD$2&lt;=2),CONCATENATE("FY",$AD$3+6),IF(AND($AD$2&gt;=3,$AD$2&lt;=6),CONCATENATE("FY",$AD$3+7),"N/A"))</f>
        <v>FY2031</v>
      </c>
      <c r="Z93" s="53" t="str">
        <f>IF(OR($AD$2&gt;=7,$AD$2&lt;=2),CONCATENATE("FY",$AD$3+7),IF(AND($AD$2&gt;=3,$AD$2&lt;=6),CONCATENATE("FY",$AD$3+8),"N/A"))</f>
        <v>FY2032</v>
      </c>
      <c r="AA93" s="53" t="str">
        <f>IF(OR($AD$2&gt;=7,$AD$2&lt;=2),CONCATENATE("FY",$AD$3+8),IF(AND($AD$2&gt;=3,$AD$2&lt;=6),CONCATENATE("FY",$AD$3+9),"N/A"))</f>
        <v>FY2033</v>
      </c>
      <c r="AB93" s="53" t="str">
        <f>IF(OR($AD$2&gt;=7,$AD$2&lt;=2),CONCATENATE("FY",$AD$3+9),IF(AND($AD$2&gt;=3,$AD$2&lt;=6),CONCATENATE("FY",$AD$3+10),"N/A"))</f>
        <v>FY2034</v>
      </c>
    </row>
    <row r="94" spans="1:30" x14ac:dyDescent="0.25">
      <c r="A94" s="141" t="s">
        <v>66</v>
      </c>
      <c r="B94" s="54">
        <f>ROUND(B91*(B92*B93),0)</f>
        <v>0</v>
      </c>
      <c r="C94" s="54">
        <f t="shared" ref="C94:F94" si="138">ROUND(C91*(C92*C93),0)</f>
        <v>0</v>
      </c>
      <c r="D94" s="54">
        <f t="shared" si="138"/>
        <v>0</v>
      </c>
      <c r="E94" s="54">
        <f t="shared" si="138"/>
        <v>0</v>
      </c>
      <c r="F94" s="54">
        <f t="shared" si="138"/>
        <v>0</v>
      </c>
      <c r="G94" s="54">
        <f t="shared" ref="G94:K94" si="139">ROUND(G91*(G92*G93),0)</f>
        <v>0</v>
      </c>
      <c r="H94" s="54">
        <f t="shared" si="139"/>
        <v>0</v>
      </c>
      <c r="I94" s="54">
        <f t="shared" si="139"/>
        <v>0</v>
      </c>
      <c r="J94" s="54">
        <f t="shared" si="139"/>
        <v>0</v>
      </c>
      <c r="K94" s="54">
        <f t="shared" si="139"/>
        <v>0</v>
      </c>
      <c r="Q94" s="143"/>
      <c r="R94" s="53"/>
      <c r="S94" s="53" t="str">
        <f>IF(AND($AD$2&gt;=1,$AD$2&lt;=6),CONCATENATE("FY",$AD$3+1),IF(AND($AD$2&gt;=7,$AD$2&lt;=9),CONCATENATE("FY",$AD$3),IF(AND($AD$2&gt;=10,$AD$2&lt;=126),CONCATENATE("FY",$AD$3+1),"N/A")))</f>
        <v>FY2026</v>
      </c>
      <c r="T94" s="53" t="str">
        <f>IF(AND($AD$2&gt;=1,$AD$2&lt;=6),CONCATENATE("FY",$AD$3+2),IF(AND($AD$2&gt;=7,$AD$2&lt;=9),CONCATENATE("FY",$AD$3+1),IF(AND($AD$2&gt;=10,$AD$2&lt;=126),CONCATENATE("FY",$AD$3+2),"N/A")))</f>
        <v>FY2027</v>
      </c>
      <c r="U94" s="53" t="str">
        <f>IF(AND($AD$2&gt;=1,$AD$2&lt;=6),CONCATENATE("FY",$AD$3+3),IF(AND($AD$2&gt;=7,$AD$2&lt;=9),CONCATENATE("FY",$AD$3+2),IF(AND($AD$2&gt;=10,$AD$2&lt;=126),CONCATENATE("FY",$AD$3+3),"N/A")))</f>
        <v>FY2028</v>
      </c>
      <c r="V94" s="53" t="str">
        <f>IF(AND($AD$2&gt;=1,$AD$2&lt;=6),CONCATENATE("FY",$AD$3+4),IF(AND($AD$2&gt;=7,$AD$2&lt;=9),CONCATENATE("FY",$AD$3+3),IF(AND($AD$2&gt;=10,$AD$2&lt;=126),CONCATENATE("FY",$AD$3+4),"N/A")))</f>
        <v>FY2029</v>
      </c>
      <c r="W94" s="53" t="str">
        <f>IF(AND($AD$2&gt;=1,$AD$2&lt;=6),CONCATENATE("FY",$AD$3+5),IF(AND($AD$2&gt;=7,$AD$2&lt;=9),CONCATENATE("FY",$AD$3+4),IF(AND($AD$2&gt;=10,$AD$2&lt;=126),CONCATENATE("FY",$AD$3+5),"N/A")))</f>
        <v>FY2030</v>
      </c>
      <c r="X94" s="53" t="str">
        <f>IF(AND($AD$2&gt;=1,$AD$2&lt;=6),CONCATENATE("FY",$AD$3+6),IF(AND($AD$2&gt;=7,$AD$2&lt;=9),CONCATENATE("FY",$AD$3+5),IF(AND($AD$2&gt;=10,$AD$2&lt;=126),CONCATENATE("FY",$AD$3+6),"N/A")))</f>
        <v>FY2031</v>
      </c>
      <c r="Y94" s="53" t="str">
        <f>IF(AND($AD$2&gt;=1,$AD$2&lt;=6),CONCATENATE("FY",$AD$3+6),IF(AND($AD$2&gt;=7,$AD$2&lt;=9),CONCATENATE("FY",$AD$3+6),IF(AND($AD$2&gt;=10,$AD$2&lt;=126),CONCATENATE("FY",$AD$3+7),"N/A")))</f>
        <v>FY2031</v>
      </c>
      <c r="Z94" s="53" t="str">
        <f>IF(AND($AD$2&gt;=1,$AD$2&lt;=6),CONCATENATE("FY",$AD$3+6),IF(AND($AD$2&gt;=7,$AD$2&lt;=9),CONCATENATE("FY",$AD$3+7),IF(AND($AD$2&gt;=10,$AD$2&lt;=126),CONCATENATE("FY",$AD$3+8),"N/A")))</f>
        <v>FY2031</v>
      </c>
      <c r="AA94" s="53" t="str">
        <f>IF(AND($AD$2&gt;=1,$AD$2&lt;=6),CONCATENATE("FY",$AD$3+6),IF(AND($AD$2&gt;=7,$AD$2&lt;=9),CONCATENATE("FY",$AD$3+8),IF(AND($AD$2&gt;=10,$AD$2&lt;=126),CONCATENATE("FY",$AD$3+9),"N/A")))</f>
        <v>FY2031</v>
      </c>
      <c r="AB94" s="53" t="str">
        <f>IF(AND($AD$2&gt;=1,$AD$2&lt;=6),CONCATENATE("FY",$AD$3+6),IF(AND($AD$2&gt;=7,$AD$2&lt;=9),CONCATENATE("FY",$AD$3+9),IF(AND($AD$2&gt;=10,$AD$2&lt;=126),CONCATENATE("FY",$AD$3+10),"N/A")))</f>
        <v>FY2031</v>
      </c>
    </row>
    <row r="95" spans="1:30" ht="15.75" thickBot="1" x14ac:dyDescent="0.3">
      <c r="A95" s="141" t="s">
        <v>58</v>
      </c>
      <c r="B95" s="316">
        <v>0</v>
      </c>
      <c r="C95" s="316">
        <v>0</v>
      </c>
      <c r="D95" s="316">
        <v>0</v>
      </c>
      <c r="E95" s="316">
        <v>0</v>
      </c>
      <c r="F95" s="316">
        <v>0</v>
      </c>
      <c r="G95" s="316">
        <v>0</v>
      </c>
      <c r="H95" s="316">
        <v>0</v>
      </c>
      <c r="I95" s="316">
        <v>0</v>
      </c>
      <c r="J95" s="316">
        <v>0</v>
      </c>
      <c r="K95" s="316">
        <v>0</v>
      </c>
      <c r="Q95" s="143"/>
      <c r="R95" s="422" t="s">
        <v>106</v>
      </c>
      <c r="S95" s="50" t="s">
        <v>1</v>
      </c>
      <c r="T95" s="51" t="s">
        <v>2</v>
      </c>
      <c r="U95" s="51" t="s">
        <v>3</v>
      </c>
      <c r="V95" s="51" t="s">
        <v>39</v>
      </c>
      <c r="W95" s="51" t="s">
        <v>45</v>
      </c>
      <c r="X95" s="51" t="s">
        <v>183</v>
      </c>
      <c r="Y95" s="51" t="s">
        <v>184</v>
      </c>
      <c r="Z95" s="51" t="s">
        <v>185</v>
      </c>
      <c r="AA95" s="51" t="s">
        <v>186</v>
      </c>
      <c r="AB95" s="51" t="s">
        <v>187</v>
      </c>
    </row>
    <row r="96" spans="1:30" x14ac:dyDescent="0.25">
      <c r="A96" s="141" t="s">
        <v>59</v>
      </c>
      <c r="B96" s="316">
        <v>0</v>
      </c>
      <c r="C96" s="316">
        <v>0</v>
      </c>
      <c r="D96" s="316">
        <v>0</v>
      </c>
      <c r="E96" s="316">
        <v>0</v>
      </c>
      <c r="F96" s="316">
        <v>0</v>
      </c>
      <c r="G96" s="316">
        <v>0</v>
      </c>
      <c r="H96" s="316">
        <v>0</v>
      </c>
      <c r="I96" s="316">
        <v>0</v>
      </c>
      <c r="J96" s="316">
        <v>0</v>
      </c>
      <c r="K96" s="316">
        <v>0</v>
      </c>
      <c r="Q96" s="143"/>
      <c r="R96" s="119" t="str">
        <f>CONCATENATE("Stipend ",IF(AND(AD2&gt;=7,AD2&lt;=9),CONCATENATE("(Fall)"),IF(AND(AD2&gt;=7,AD2&lt;=10),CONCATENATE("(Spring)"),IF(OR(AD2&gt;=10,AD2&lt;=2),CONCATENATE("(Spring)"),IF(AND(AD2&gt;=7,AD2&lt;=10),CONCATENATE("(Summer)"),IF(OR(AD2&gt;=10,AD2&lt;=2),CONCATENATE("(Summer)"),IF(AND(AD2&gt;=3,AD2&lt;=6),CONCATENATE("(Summer)"),"N/A")))))))</f>
        <v>Stipend (Spring)</v>
      </c>
      <c r="S96" s="120">
        <f t="shared" ref="S96:AB96" si="140">IF(RIGHT($R96,8)="(Summer)",ROUND(S80*HLOOKUP(S92,PI_GRARateTbl,3,FALSE),0))+IF(RIGHT($R96,8)&lt;&gt;"(Summer)",ROUND(S80*HLOOKUP(S92,PI_GRARateTbl,2,FALSE)/2,0))</f>
        <v>0</v>
      </c>
      <c r="T96" s="120">
        <f t="shared" si="140"/>
        <v>0</v>
      </c>
      <c r="U96" s="120">
        <f t="shared" si="140"/>
        <v>0</v>
      </c>
      <c r="V96" s="120">
        <f t="shared" si="140"/>
        <v>0</v>
      </c>
      <c r="W96" s="120">
        <f t="shared" si="140"/>
        <v>0</v>
      </c>
      <c r="X96" s="120">
        <f t="shared" si="140"/>
        <v>0</v>
      </c>
      <c r="Y96" s="120">
        <f t="shared" si="140"/>
        <v>0</v>
      </c>
      <c r="Z96" s="120">
        <f t="shared" si="140"/>
        <v>0</v>
      </c>
      <c r="AA96" s="120">
        <f t="shared" si="140"/>
        <v>0</v>
      </c>
      <c r="AB96" s="120">
        <f t="shared" si="140"/>
        <v>0</v>
      </c>
    </row>
    <row r="97" spans="1:28" x14ac:dyDescent="0.25">
      <c r="A97" s="141" t="s">
        <v>67</v>
      </c>
      <c r="B97" s="54">
        <f t="shared" ref="B97:G97" si="141">ROUND(B91*(B95*B96),0)</f>
        <v>0</v>
      </c>
      <c r="C97" s="54">
        <f t="shared" si="141"/>
        <v>0</v>
      </c>
      <c r="D97" s="54">
        <f t="shared" si="141"/>
        <v>0</v>
      </c>
      <c r="E97" s="54">
        <f t="shared" si="141"/>
        <v>0</v>
      </c>
      <c r="F97" s="54">
        <f t="shared" si="141"/>
        <v>0</v>
      </c>
      <c r="G97" s="54">
        <f t="shared" si="141"/>
        <v>0</v>
      </c>
      <c r="H97" s="54">
        <f t="shared" ref="H97" si="142">ROUND(H91*(H95*H96),0)</f>
        <v>0</v>
      </c>
      <c r="I97" s="54">
        <f t="shared" ref="I97" si="143">ROUND(I91*(I95*I96),0)</f>
        <v>0</v>
      </c>
      <c r="J97" s="54">
        <f t="shared" ref="J97" si="144">ROUND(J91*(J95*J96),0)</f>
        <v>0</v>
      </c>
      <c r="K97" s="54">
        <f t="shared" ref="K97" si="145">ROUND(K91*(K95*K96),0)</f>
        <v>0</v>
      </c>
      <c r="Q97" s="143"/>
      <c r="R97" s="121" t="str">
        <f>CONCATENATE("Stipend ",IF(AND(AD2&gt;=7,AD2&lt;=9),CONCATENATE("(Spring)"),IF(AND(AD2&gt;=7,AD2&lt;=10),CONCATENATE("(Summer)"),IF(OR(AD2&gt;=10,AD2&lt;=2),CONCATENATE("(Summer)"),IF(AND(AD2&gt;=7,AD2&lt;=10),CONCATENATE("(Fall)"),IF(OR(AD2&gt;=10,AD2&lt;=2),CONCATENATE("(Fall) "),IF(AND(AD2&gt;=3,AD2&lt;=6),CONCATENATE("(Fall)"),"N/A")))))))</f>
        <v>Stipend (Summer)</v>
      </c>
      <c r="S97" s="120">
        <f t="shared" ref="S97:AB97" si="146">IF(RIGHT($R97,8)="(Summer)",ROUND(S81*HLOOKUP(S93,PI_GRARateTbl,3,FALSE),0))+IF(RIGHT($R97,8)&lt;&gt;"(Summer)",ROUND(S81*HLOOKUP(S93,PI_GRARateTbl,2,FALSE)/2,0))</f>
        <v>0</v>
      </c>
      <c r="T97" s="120">
        <f t="shared" si="146"/>
        <v>0</v>
      </c>
      <c r="U97" s="120">
        <f t="shared" si="146"/>
        <v>0</v>
      </c>
      <c r="V97" s="120">
        <f t="shared" si="146"/>
        <v>0</v>
      </c>
      <c r="W97" s="120">
        <f t="shared" si="146"/>
        <v>0</v>
      </c>
      <c r="X97" s="120">
        <f t="shared" si="146"/>
        <v>0</v>
      </c>
      <c r="Y97" s="120">
        <f t="shared" si="146"/>
        <v>0</v>
      </c>
      <c r="Z97" s="120">
        <f t="shared" si="146"/>
        <v>0</v>
      </c>
      <c r="AA97" s="120">
        <f t="shared" si="146"/>
        <v>0</v>
      </c>
      <c r="AB97" s="120">
        <f t="shared" si="146"/>
        <v>0</v>
      </c>
    </row>
    <row r="98" spans="1:28" x14ac:dyDescent="0.25">
      <c r="A98" s="141" t="s">
        <v>21</v>
      </c>
      <c r="B98" s="110">
        <f t="shared" ref="B98:G98" si="147">+B94+B97</f>
        <v>0</v>
      </c>
      <c r="C98" s="110">
        <f t="shared" si="147"/>
        <v>0</v>
      </c>
      <c r="D98" s="110">
        <f t="shared" si="147"/>
        <v>0</v>
      </c>
      <c r="E98" s="110">
        <f t="shared" si="147"/>
        <v>0</v>
      </c>
      <c r="F98" s="110">
        <f t="shared" si="147"/>
        <v>0</v>
      </c>
      <c r="G98" s="110">
        <f t="shared" si="147"/>
        <v>0</v>
      </c>
      <c r="H98" s="110">
        <f t="shared" ref="H98" si="148">+H94+H97</f>
        <v>0</v>
      </c>
      <c r="I98" s="110">
        <f t="shared" ref="I98" si="149">+I94+I97</f>
        <v>0</v>
      </c>
      <c r="J98" s="110">
        <f t="shared" ref="J98" si="150">+J94+J97</f>
        <v>0</v>
      </c>
      <c r="K98" s="110">
        <f t="shared" ref="K98" si="151">+K94+K97</f>
        <v>0</v>
      </c>
      <c r="Q98" s="143"/>
      <c r="R98" s="121" t="str">
        <f>CONCATENATE("Stipend ",IF(AND(AD2&gt;=7,AD2&lt;=9),CONCATENATE("(Summer)"),IF(AND(AD2&gt;=7,AD2&lt;=10),CONCATENATE("(Fall)"),IF(OR(AD2&gt;=10,AD2&lt;=2),CONCATENATE("(Fall)"),IF(AND(AD2&gt;=7,AD2&lt;=10),CONCATENATE("(Spring)"),IF(OR(AD2&gt;=10,AD2&lt;=2),CONCATENATE("(Spring)"),IF(AND(AD2&gt;=3,AD2&lt;=6),CONCATENATE("(Spring)"),"N/A")))))))</f>
        <v>Stipend (Fall)</v>
      </c>
      <c r="S98" s="120">
        <f t="shared" ref="S98:AB98" si="152">IF(RIGHT($R98,8)="(Summer)",ROUND(S82*HLOOKUP(S94,PI_GRARateTbl,3,FALSE),0))+IF(RIGHT($R98,8)&lt;&gt;"(Summer)",ROUND(S82*HLOOKUP(S94,PI_GRARateTbl,2,FALSE)/2,0))</f>
        <v>0</v>
      </c>
      <c r="T98" s="120">
        <f t="shared" si="152"/>
        <v>0</v>
      </c>
      <c r="U98" s="120">
        <f t="shared" si="152"/>
        <v>0</v>
      </c>
      <c r="V98" s="120">
        <f t="shared" si="152"/>
        <v>0</v>
      </c>
      <c r="W98" s="120">
        <f t="shared" si="152"/>
        <v>0</v>
      </c>
      <c r="X98" s="120">
        <f t="shared" si="152"/>
        <v>0</v>
      </c>
      <c r="Y98" s="120">
        <f t="shared" si="152"/>
        <v>0</v>
      </c>
      <c r="Z98" s="120">
        <f t="shared" si="152"/>
        <v>0</v>
      </c>
      <c r="AA98" s="120">
        <f t="shared" si="152"/>
        <v>0</v>
      </c>
      <c r="AB98" s="120">
        <f t="shared" si="152"/>
        <v>0</v>
      </c>
    </row>
    <row r="99" spans="1:28" x14ac:dyDescent="0.25">
      <c r="A99" s="143"/>
      <c r="I99" s="23"/>
      <c r="J99" s="23"/>
      <c r="K99" s="23"/>
      <c r="L99" s="23"/>
      <c r="M99" s="23"/>
      <c r="N99" s="23"/>
      <c r="Q99" s="143"/>
      <c r="R99" s="121" t="str">
        <f>CONCATENATE("Tuition ",IF(AND(AD2&gt;=7,AD2&lt;=9),CONCATENATE("(Fall)"),IF(AND(AD2&gt;=7,AD2&lt;=10),CONCATENATE("(Spring)"),IF(OR(AD2&gt;=10,AD2&lt;=2),CONCATENATE("(Spring)"),IF(AND(AD2&gt;=7,AD2&lt;=10),CONCATENATE("(Summer)"),IF(OR(AD2&gt;=10,AD2&lt;=2),CONCATENATE("(Summer)"),IF(AND(AD2&gt;=3,AD2&lt;=6),CONCATENATE("(Summer)"),"N/A")))))))</f>
        <v>Tuition (Spring)</v>
      </c>
      <c r="S99" s="120">
        <f t="shared" ref="S99:AB99" si="153">IF(RIGHT($R99,8)="(Summer)",0,ROUND(S80*HLOOKUP(S92,PI_GRARateTbl,5,FALSE)/2,0))</f>
        <v>0</v>
      </c>
      <c r="T99" s="120">
        <f t="shared" si="153"/>
        <v>0</v>
      </c>
      <c r="U99" s="120">
        <f t="shared" si="153"/>
        <v>0</v>
      </c>
      <c r="V99" s="120">
        <f t="shared" si="153"/>
        <v>0</v>
      </c>
      <c r="W99" s="120">
        <f t="shared" si="153"/>
        <v>0</v>
      </c>
      <c r="X99" s="120">
        <f t="shared" si="153"/>
        <v>0</v>
      </c>
      <c r="Y99" s="120">
        <f t="shared" si="153"/>
        <v>0</v>
      </c>
      <c r="Z99" s="120">
        <f t="shared" si="153"/>
        <v>0</v>
      </c>
      <c r="AA99" s="120">
        <f t="shared" si="153"/>
        <v>0</v>
      </c>
      <c r="AB99" s="120">
        <f t="shared" si="153"/>
        <v>0</v>
      </c>
    </row>
    <row r="100" spans="1:28" x14ac:dyDescent="0.25">
      <c r="A100" s="144" t="s">
        <v>88</v>
      </c>
      <c r="B100" s="104" t="str">
        <f t="shared" ref="B100:L100" si="154">IF(AND(B101=$AE$5,$O102=9),$AE$3,IF(AND(B101=$AF$5,$O102=9),$AF$3,IF(AND(B101=$AG$5,$O102=9),$AG$3,IF(AND(B101=$AH$5,$O102=9),$AH$3,IF(AND(B101=$AI$5,$O102=9),$AI$3,IF(AND(B101=$AJ$5,$O102=9),$AJ$3,IF(AND(B101=$AK$5,$O102=9),$AK$3,IF(AND(B101=$AL$5,$O102=9),$AL$3,IF(AND(B101=$AM$5,$O102=9),$AM$3,IF(AND(B101=$AN$5,$O102=9),$AN$3,IF(AND(B101=$AO$5,$O102=9),$AO$3,IF(AND(B101=$AP$5,$O102=9),$AJ$3,IF(AND(B101=$AE$4,$O102=12),$AE$3,IF(AND(B101=$AF$4,$O102=12),$AF$3,IF(AND(B101=$AG$4,$O102=12),$AG$3,IF(AND(B101=$AH$4,$O102=12),$AH$3,IF(AND(B101=$AI$4,$O102=12),$AI$3,IF(AND(B101=$AJ$4,$O102=12),$AJ$3,IF(AND(B101=$AK$4,$O102=12),$AK$3,IF(AND(B101=$AL$4,$O102=12),$AL$3,IF(AND(B101=$AM$4,$O102=12),$AM$3,IF(AND(B101=$AN$4,$O102=12),$AN$3,IF(AND(B101=$AO$4,$O102=12),$AO$3,IF(AND(B101=$AP$4,$O102=12),$AJ$3," "))))))))))))))))))))))))</f>
        <v>Year 1</v>
      </c>
      <c r="C100" s="104" t="str">
        <f t="shared" si="154"/>
        <v>Year 2</v>
      </c>
      <c r="D100" s="104" t="str">
        <f t="shared" si="154"/>
        <v>Year 3</v>
      </c>
      <c r="E100" s="104" t="str">
        <f t="shared" si="154"/>
        <v>Year 4</v>
      </c>
      <c r="F100" s="104" t="str">
        <f t="shared" si="154"/>
        <v>Year 5</v>
      </c>
      <c r="G100" s="104" t="str">
        <f t="shared" si="154"/>
        <v>Year 6</v>
      </c>
      <c r="H100" s="104" t="str">
        <f t="shared" si="154"/>
        <v>Year 7</v>
      </c>
      <c r="I100" s="104" t="str">
        <f t="shared" si="154"/>
        <v>Year 8</v>
      </c>
      <c r="J100" s="104" t="str">
        <f t="shared" si="154"/>
        <v>Year 9</v>
      </c>
      <c r="K100" s="104" t="str">
        <f t="shared" si="154"/>
        <v>Year 10</v>
      </c>
      <c r="L100" s="104" t="str">
        <f t="shared" si="154"/>
        <v>Year 11</v>
      </c>
      <c r="M100" s="104" t="str">
        <f t="shared" ref="M100" si="155">IF(AND(M101=$AE$5,$O102=9),$AE$3,IF(AND(M101=$AF$5,$O102=9),$AF$3,IF(AND(M101=$AG$5,$O102=9),$AG$3,IF(AND(M101=$AH$5,$O102=9),$AH$3,IF(AND(M101=$AI$5,$O102=9),$AI$3,IF(AND(M101=$AJ$5,$O102=9),$AJ$3,IF(AND(M101=$AK$5,$O102=9),$AK$3,IF(AND(M101=$AL$5,$O102=9),$AL$3,IF(AND(M101=$AM$5,$O102=9),$AM$3,IF(AND(M101=$AN$5,$O102=9),$AN$3,IF(AND(M101=$AO$5,$O102=9),$AO$3,IF(AND(M101=$AP$5,$O102=9),$AJ$3,IF(AND(M101=$AE$4,$O102=12),$AE$3,IF(AND(M101=$AF$4,$O102=12),$AF$3,IF(AND(M101=$AG$4,$O102=12),$AG$3,IF(AND(M101=$AH$4,$O102=12),$AH$3,IF(AND(M101=$AI$4,$O102=12),$AI$3,IF(AND(M101=$AJ$4,$O102=12),$AJ$3,IF(AND(M101=$AK$4,$O102=12),$AK$3,IF(AND(M101=$AL$4,$O102=12),$AL$3,IF(AND(M101=$AM$4,$O102=12),$AM$3,IF(AND(M101=$AN$4,$O102=12),$AN$3,IF(AND(M101=$AO$4,$O102=12),$AO$3,IF(AND(M101=$AP$4,$O102=12),$AJ$3," "))))))))))))))))))))))))</f>
        <v>Year 6</v>
      </c>
      <c r="N100" s="104"/>
      <c r="Q100" s="143"/>
      <c r="R100" s="121" t="str">
        <f>CONCATENATE("Tuition ",IF(AND(AD2&gt;=7,AD2&lt;=9),CONCATENATE("(Spring)"),IF(AND(AD2&gt;=7,AD2&lt;=10),CONCATENATE("(Summer)"),IF(OR(AD2&gt;=10,AD2&lt;=2),CONCATENATE("(Summer)"),IF(AND(AD2&gt;=7,AD2&lt;=10),CONCATENATE("(Fall)"),IF(OR(AD2&gt;=10,AD2&lt;=2),CONCATENATE("(Fall) "),IF(AND(AD2&gt;=3,AD2&lt;=6),CONCATENATE("(Fall)"),"N/A")))))))</f>
        <v>Tuition (Summer)</v>
      </c>
      <c r="S100" s="120">
        <f t="shared" ref="S100:AB100" si="156">IF(RIGHT($R100,8)="(Summer)",0,ROUND(S81*HLOOKUP(S93,PI_GRARateTbl,5,FALSE)/2,0))</f>
        <v>0</v>
      </c>
      <c r="T100" s="120">
        <f t="shared" si="156"/>
        <v>0</v>
      </c>
      <c r="U100" s="120">
        <f t="shared" si="156"/>
        <v>0</v>
      </c>
      <c r="V100" s="120">
        <f t="shared" si="156"/>
        <v>0</v>
      </c>
      <c r="W100" s="120">
        <f t="shared" si="156"/>
        <v>0</v>
      </c>
      <c r="X100" s="120">
        <f t="shared" si="156"/>
        <v>0</v>
      </c>
      <c r="Y100" s="120">
        <f t="shared" si="156"/>
        <v>0</v>
      </c>
      <c r="Z100" s="120">
        <f t="shared" si="156"/>
        <v>0</v>
      </c>
      <c r="AA100" s="120">
        <f t="shared" si="156"/>
        <v>0</v>
      </c>
      <c r="AB100" s="120">
        <f t="shared" si="156"/>
        <v>0</v>
      </c>
    </row>
    <row r="101" spans="1:28" x14ac:dyDescent="0.25">
      <c r="A101" s="319" t="s">
        <v>29</v>
      </c>
      <c r="B101" s="55" t="str">
        <f t="shared" ref="B101:I101" si="157">+N$2</f>
        <v>FY2025</v>
      </c>
      <c r="C101" s="55" t="str">
        <f t="shared" si="157"/>
        <v>FY2026</v>
      </c>
      <c r="D101" s="55" t="str">
        <f t="shared" si="157"/>
        <v>FY2027</v>
      </c>
      <c r="E101" s="55" t="str">
        <f t="shared" si="157"/>
        <v>FY2028</v>
      </c>
      <c r="F101" s="55" t="str">
        <f t="shared" si="157"/>
        <v>FY2029</v>
      </c>
      <c r="G101" s="55" t="str">
        <f t="shared" si="157"/>
        <v>FY2030</v>
      </c>
      <c r="H101" s="55" t="str">
        <f t="shared" si="157"/>
        <v>FY2031</v>
      </c>
      <c r="I101" s="55" t="str">
        <f t="shared" si="157"/>
        <v>FY2032</v>
      </c>
      <c r="J101" s="55" t="str">
        <f t="shared" ref="J101" si="158">+V$2</f>
        <v>FY2033</v>
      </c>
      <c r="K101" s="55" t="str">
        <f t="shared" ref="K101:M101" si="159">+W$2</f>
        <v>FY2034</v>
      </c>
      <c r="L101" s="55" t="str">
        <f t="shared" si="159"/>
        <v>FY2035</v>
      </c>
      <c r="M101" s="55" t="str">
        <f t="shared" si="159"/>
        <v>FY2036</v>
      </c>
      <c r="N101" s="55"/>
      <c r="O101" s="32" t="s">
        <v>20</v>
      </c>
      <c r="P101" s="89"/>
      <c r="Q101" s="161"/>
      <c r="R101" s="121" t="str">
        <f>CONCATENATE("Tuition ",IF(AND(AD2&gt;=7,AD2&lt;=9),CONCATENATE("(Summer)"),IF(AND(AD2&gt;=7,AD2&lt;=10),CONCATENATE("(Fall)"),IF(OR(AD2&gt;=10,AD2&lt;=2),CONCATENATE("(Fall)"),IF(AND(AD2&gt;=7,AD2&lt;=10),CONCATENATE("(Spring)"),IF(OR(AD2&gt;=10,AD2&lt;=2),CONCATENATE("(Spring)"),IF(AND(AD2&gt;=3,AD2&lt;=6),CONCATENATE("(Spring)"),"N/A")))))))</f>
        <v>Tuition (Fall)</v>
      </c>
      <c r="S101" s="120">
        <f t="shared" ref="S101:AB101" si="160">IF(RIGHT($R101,8)="(Summer)",0,ROUND(S82*HLOOKUP(S94,PI_GRARateTbl,5,FALSE)/2,0))</f>
        <v>0</v>
      </c>
      <c r="T101" s="120">
        <f t="shared" si="160"/>
        <v>0</v>
      </c>
      <c r="U101" s="120">
        <f t="shared" si="160"/>
        <v>0</v>
      </c>
      <c r="V101" s="120">
        <f t="shared" si="160"/>
        <v>0</v>
      </c>
      <c r="W101" s="120">
        <f t="shared" si="160"/>
        <v>0</v>
      </c>
      <c r="X101" s="120">
        <f t="shared" si="160"/>
        <v>0</v>
      </c>
      <c r="Y101" s="120">
        <f t="shared" si="160"/>
        <v>0</v>
      </c>
      <c r="Z101" s="120">
        <f t="shared" si="160"/>
        <v>0</v>
      </c>
      <c r="AA101" s="120">
        <f t="shared" si="160"/>
        <v>0</v>
      </c>
      <c r="AB101" s="120">
        <f t="shared" si="160"/>
        <v>0</v>
      </c>
    </row>
    <row r="102" spans="1:28" x14ac:dyDescent="0.25">
      <c r="A102" s="141" t="str">
        <f>CONCATENATE("Base Salary: ",O102," month term")</f>
        <v>Base Salary: 12 month term</v>
      </c>
      <c r="B102" s="446">
        <v>0</v>
      </c>
      <c r="C102" s="445">
        <f t="shared" ref="C102:M102" si="161">ROUND(+B102*(1+(HLOOKUP(C101,FringeAndIDCRates,11,FALSE))),0)</f>
        <v>0</v>
      </c>
      <c r="D102" s="445">
        <f t="shared" si="161"/>
        <v>0</v>
      </c>
      <c r="E102" s="445">
        <f t="shared" si="161"/>
        <v>0</v>
      </c>
      <c r="F102" s="445">
        <f t="shared" si="161"/>
        <v>0</v>
      </c>
      <c r="G102" s="445">
        <f t="shared" si="161"/>
        <v>0</v>
      </c>
      <c r="H102" s="445">
        <f t="shared" si="161"/>
        <v>0</v>
      </c>
      <c r="I102" s="445">
        <f t="shared" si="161"/>
        <v>0</v>
      </c>
      <c r="J102" s="445">
        <f t="shared" si="161"/>
        <v>0</v>
      </c>
      <c r="K102" s="445">
        <f t="shared" si="161"/>
        <v>0</v>
      </c>
      <c r="L102" s="445">
        <f t="shared" si="161"/>
        <v>0</v>
      </c>
      <c r="M102" s="445">
        <f t="shared" si="161"/>
        <v>0</v>
      </c>
      <c r="N102" s="384"/>
      <c r="O102" s="310">
        <v>12</v>
      </c>
      <c r="P102" s="311"/>
      <c r="Q102" s="163"/>
      <c r="R102" s="121" t="str">
        <f>CONCATENATE("Health Insurance ",IF(AND(AD2&gt;=7,AD2&lt;=9),CONCATENATE("(Fall)"),IF(AND(AD2&gt;=7,AD2&lt;=10),CONCATENATE("(Spring)"),IF(OR(AD2&gt;=10,AD2&lt;=2),CONCATENATE("(Spring)"),IF(AND(AD2&gt;=7,AD2&lt;=10),CONCATENATE("(Summer)"),IF(OR(AD2&gt;=10,AD2&lt;=2),CONCATENATE("(Summer)"),IF(AND(AD2&gt;=3,AD2&lt;=6),CONCATENATE("(Summer)"),"N/A")))))))</f>
        <v>Health Insurance (Spring)</v>
      </c>
      <c r="S102" s="120">
        <f t="shared" ref="S102:AB102" si="162">IF(RIGHT($R102,8)="(Summer)",0,ROUND(S80*HLOOKUP(S92,PI_GRARateTbl,6,FALSE)/2,0))</f>
        <v>0</v>
      </c>
      <c r="T102" s="120">
        <f t="shared" si="162"/>
        <v>0</v>
      </c>
      <c r="U102" s="120">
        <f t="shared" si="162"/>
        <v>0</v>
      </c>
      <c r="V102" s="120">
        <f t="shared" si="162"/>
        <v>0</v>
      </c>
      <c r="W102" s="120">
        <f t="shared" si="162"/>
        <v>0</v>
      </c>
      <c r="X102" s="120">
        <f t="shared" si="162"/>
        <v>0</v>
      </c>
      <c r="Y102" s="120">
        <f t="shared" si="162"/>
        <v>0</v>
      </c>
      <c r="Z102" s="120">
        <f t="shared" si="162"/>
        <v>0</v>
      </c>
      <c r="AA102" s="120">
        <f t="shared" si="162"/>
        <v>0</v>
      </c>
      <c r="AB102" s="120">
        <f t="shared" si="162"/>
        <v>0</v>
      </c>
    </row>
    <row r="103" spans="1:28" x14ac:dyDescent="0.25">
      <c r="A103" s="141" t="s">
        <v>44</v>
      </c>
      <c r="B103" s="312">
        <v>0</v>
      </c>
      <c r="C103" s="312">
        <v>0</v>
      </c>
      <c r="D103" s="312">
        <v>0</v>
      </c>
      <c r="E103" s="312">
        <v>0</v>
      </c>
      <c r="F103" s="312">
        <v>0</v>
      </c>
      <c r="G103" s="312">
        <v>0</v>
      </c>
      <c r="H103" s="312">
        <v>0</v>
      </c>
      <c r="I103" s="312">
        <v>0</v>
      </c>
      <c r="J103" s="312">
        <v>0</v>
      </c>
      <c r="K103" s="312">
        <v>0</v>
      </c>
      <c r="L103" s="312">
        <v>0</v>
      </c>
      <c r="M103" s="312">
        <v>0</v>
      </c>
      <c r="N103" s="400"/>
      <c r="O103" s="25"/>
      <c r="P103" s="25"/>
      <c r="Q103" s="141"/>
      <c r="R103" s="121" t="str">
        <f>CONCATENATE("Health Insurance ",IF(AND(AD2&gt;=7,AD2&lt;=9),CONCATENATE("(Spring)"),IF(AND(AD2&gt;=7,AD2&lt;=10),CONCATENATE("(Summer)"),IF(OR(AD2&gt;=10,AD2&lt;=2),CONCATENATE("(Summer)"),IF(AND(AD2&gt;=7,AD2&lt;=10),CONCATENATE("(Fall)"),IF(OR(AD2&gt;=10,AD2&lt;=2),CONCATENATE("(Fall) "),IF(AND(AD2&gt;=3,AD2&lt;=6),CONCATENATE("(Fall)"),"N/A")))))))</f>
        <v>Health Insurance (Summer)</v>
      </c>
      <c r="S103" s="120">
        <f t="shared" ref="S103:AB103" si="163">IF(RIGHT($R103,8)="(Summer)",0,ROUND(S81*HLOOKUP(S93,PI_GRARateTbl,6,FALSE)/2,0))</f>
        <v>0</v>
      </c>
      <c r="T103" s="120">
        <f t="shared" si="163"/>
        <v>0</v>
      </c>
      <c r="U103" s="120">
        <f t="shared" si="163"/>
        <v>0</v>
      </c>
      <c r="V103" s="120">
        <f t="shared" si="163"/>
        <v>0</v>
      </c>
      <c r="W103" s="120">
        <f t="shared" si="163"/>
        <v>0</v>
      </c>
      <c r="X103" s="120">
        <f t="shared" si="163"/>
        <v>0</v>
      </c>
      <c r="Y103" s="120">
        <f t="shared" si="163"/>
        <v>0</v>
      </c>
      <c r="Z103" s="120">
        <f t="shared" si="163"/>
        <v>0</v>
      </c>
      <c r="AA103" s="120">
        <f t="shared" si="163"/>
        <v>0</v>
      </c>
      <c r="AB103" s="120">
        <f t="shared" si="163"/>
        <v>0</v>
      </c>
    </row>
    <row r="104" spans="1:28" x14ac:dyDescent="0.25">
      <c r="A104" s="141" t="str">
        <f>CONCATENATE("FTE for ",O102," Months")</f>
        <v>FTE for 12 Months</v>
      </c>
      <c r="B104" s="393">
        <f t="shared" ref="B104:L104" si="164">+B103/$O102</f>
        <v>0</v>
      </c>
      <c r="C104" s="393">
        <f t="shared" si="164"/>
        <v>0</v>
      </c>
      <c r="D104" s="393">
        <f t="shared" si="164"/>
        <v>0</v>
      </c>
      <c r="E104" s="393">
        <f t="shared" si="164"/>
        <v>0</v>
      </c>
      <c r="F104" s="393">
        <f t="shared" si="164"/>
        <v>0</v>
      </c>
      <c r="G104" s="393">
        <f t="shared" si="164"/>
        <v>0</v>
      </c>
      <c r="H104" s="393">
        <f t="shared" si="164"/>
        <v>0</v>
      </c>
      <c r="I104" s="393">
        <f t="shared" si="164"/>
        <v>0</v>
      </c>
      <c r="J104" s="393">
        <f t="shared" si="164"/>
        <v>0</v>
      </c>
      <c r="K104" s="393">
        <f t="shared" si="164"/>
        <v>0</v>
      </c>
      <c r="L104" s="393">
        <f t="shared" si="164"/>
        <v>0</v>
      </c>
      <c r="M104" s="393">
        <f t="shared" ref="M104" si="165">+M103/$O102</f>
        <v>0</v>
      </c>
      <c r="N104" s="401"/>
      <c r="O104" s="89"/>
      <c r="P104" s="89"/>
      <c r="Q104" s="161"/>
      <c r="R104" s="121" t="str">
        <f>CONCATENATE("Health Insurance ",IF(AND(AD2&gt;=7,AD2&lt;=9),CONCATENATE("(Summer)"),IF(AND(AD2&gt;=7,AD2&lt;=10),CONCATENATE("(Fall)"),IF(OR(AD2&gt;=10,AD2&lt;=2),CONCATENATE("(Fall)"),IF(AND(AD2&gt;=7,AD2&lt;=10),CONCATENATE("(Spring)"),IF(OR(AD2&gt;=10,AD2&lt;=2),CONCATENATE("(Spring)"),IF(AND(AD2&gt;=3,AD2&lt;=6),CONCATENATE("(Spring)"),"N/A")))))))</f>
        <v>Health Insurance (Fall)</v>
      </c>
      <c r="S104" s="120">
        <f t="shared" ref="S104:AB104" si="166">IF(RIGHT($R104,8)="(Summer)",0,ROUND(S82*HLOOKUP(S94,PI_GRARateTbl,6,FALSE)/2,0))</f>
        <v>0</v>
      </c>
      <c r="T104" s="120">
        <f t="shared" si="166"/>
        <v>0</v>
      </c>
      <c r="U104" s="120">
        <f t="shared" si="166"/>
        <v>0</v>
      </c>
      <c r="V104" s="120">
        <f t="shared" si="166"/>
        <v>0</v>
      </c>
      <c r="W104" s="120">
        <f t="shared" si="166"/>
        <v>0</v>
      </c>
      <c r="X104" s="120">
        <f t="shared" si="166"/>
        <v>0</v>
      </c>
      <c r="Y104" s="120">
        <f t="shared" si="166"/>
        <v>0</v>
      </c>
      <c r="Z104" s="120">
        <f t="shared" si="166"/>
        <v>0</v>
      </c>
      <c r="AA104" s="120">
        <f t="shared" si="166"/>
        <v>0</v>
      </c>
      <c r="AB104" s="120">
        <f t="shared" si="166"/>
        <v>0</v>
      </c>
    </row>
    <row r="105" spans="1:28" ht="15.75" thickBot="1" x14ac:dyDescent="0.3">
      <c r="A105" s="141" t="s">
        <v>21</v>
      </c>
      <c r="B105" s="110">
        <f t="shared" ref="B105:K105" si="167">ROUND((B102*B104*$Q$41)+(C102*B104*$Q$42),0)</f>
        <v>0</v>
      </c>
      <c r="C105" s="110">
        <f t="shared" si="167"/>
        <v>0</v>
      </c>
      <c r="D105" s="110">
        <f t="shared" si="167"/>
        <v>0</v>
      </c>
      <c r="E105" s="110">
        <f t="shared" si="167"/>
        <v>0</v>
      </c>
      <c r="F105" s="110">
        <f t="shared" si="167"/>
        <v>0</v>
      </c>
      <c r="G105" s="110">
        <f t="shared" si="167"/>
        <v>0</v>
      </c>
      <c r="H105" s="110">
        <f t="shared" si="167"/>
        <v>0</v>
      </c>
      <c r="I105" s="110">
        <f t="shared" si="167"/>
        <v>0</v>
      </c>
      <c r="J105" s="110">
        <f t="shared" si="167"/>
        <v>0</v>
      </c>
      <c r="K105" s="110">
        <f t="shared" si="167"/>
        <v>0</v>
      </c>
      <c r="L105" s="110">
        <f>ROUND((L102*L104*$Q$41)+(N102*L104*$Q$42),0)</f>
        <v>0</v>
      </c>
      <c r="M105" s="110">
        <f>ROUND((M102*M104*$Q$41)+(O102*M104*$Q$42),0)</f>
        <v>0</v>
      </c>
      <c r="N105" s="402"/>
      <c r="O105" s="89"/>
      <c r="P105" s="89"/>
      <c r="Q105" s="161"/>
      <c r="R105" s="38" t="s">
        <v>31</v>
      </c>
      <c r="S105" s="39">
        <f t="shared" ref="S105:X105" si="168">SUM(S96:S104)</f>
        <v>0</v>
      </c>
      <c r="T105" s="39">
        <f t="shared" si="168"/>
        <v>0</v>
      </c>
      <c r="U105" s="39">
        <f t="shared" si="168"/>
        <v>0</v>
      </c>
      <c r="V105" s="39">
        <f t="shared" si="168"/>
        <v>0</v>
      </c>
      <c r="W105" s="39">
        <f t="shared" si="168"/>
        <v>0</v>
      </c>
      <c r="X105" s="39">
        <f t="shared" si="168"/>
        <v>0</v>
      </c>
      <c r="Y105" s="39">
        <f t="shared" ref="Y105" si="169">SUM(Y96:Y104)</f>
        <v>0</v>
      </c>
      <c r="Z105" s="39">
        <f t="shared" ref="Z105" si="170">SUM(Z96:Z104)</f>
        <v>0</v>
      </c>
      <c r="AA105" s="39">
        <f t="shared" ref="AA105" si="171">SUM(AA96:AA104)</f>
        <v>0</v>
      </c>
      <c r="AB105" s="39">
        <f t="shared" ref="AB105" si="172">SUM(AB96:AB104)</f>
        <v>0</v>
      </c>
    </row>
    <row r="107" spans="1:28" x14ac:dyDescent="0.25">
      <c r="C107" s="116"/>
      <c r="S107" s="406"/>
      <c r="T107" s="406"/>
    </row>
    <row r="108" spans="1:28" x14ac:dyDescent="0.25">
      <c r="A108" s="188" t="str">
        <f ca="1">+A15</f>
        <v>Co-PI Budget (1)</v>
      </c>
      <c r="C108" s="116"/>
    </row>
    <row r="109" spans="1:28" x14ac:dyDescent="0.25">
      <c r="A109" s="136" t="s">
        <v>50</v>
      </c>
      <c r="B109" s="208" t="str">
        <f>+B15</f>
        <v>Co-PI</v>
      </c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</row>
    <row r="110" spans="1:28" x14ac:dyDescent="0.25">
      <c r="A110" s="136" t="s">
        <v>53</v>
      </c>
      <c r="B110" s="320" t="s">
        <v>57</v>
      </c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</row>
    <row r="111" spans="1:28" x14ac:dyDescent="0.25">
      <c r="A111" s="136" t="s">
        <v>53</v>
      </c>
      <c r="B111" s="320" t="s">
        <v>57</v>
      </c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</row>
    <row r="112" spans="1:28" x14ac:dyDescent="0.25">
      <c r="A112" s="136" t="s">
        <v>113</v>
      </c>
      <c r="B112" s="321" t="s">
        <v>95</v>
      </c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</row>
    <row r="113" spans="1:17" x14ac:dyDescent="0.25">
      <c r="A113" s="136" t="s">
        <v>134</v>
      </c>
      <c r="B113" s="321" t="s">
        <v>132</v>
      </c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</row>
    <row r="114" spans="1:17" x14ac:dyDescent="0.25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</row>
    <row r="115" spans="1:17" x14ac:dyDescent="0.25">
      <c r="A115" s="136" t="s">
        <v>97</v>
      </c>
      <c r="B115" s="322" t="s">
        <v>95</v>
      </c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</row>
    <row r="116" spans="1:17" x14ac:dyDescent="0.25">
      <c r="A116" s="136" t="s">
        <v>98</v>
      </c>
      <c r="B116" s="322" t="s">
        <v>95</v>
      </c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</row>
    <row r="117" spans="1:17" x14ac:dyDescent="0.25">
      <c r="A117" s="149"/>
      <c r="B117" s="151"/>
      <c r="C117" s="149"/>
      <c r="D117" s="149"/>
      <c r="E117" s="149"/>
      <c r="F117" s="149"/>
      <c r="G117" s="149"/>
      <c r="H117" s="149"/>
      <c r="I117" s="152"/>
      <c r="J117" s="152"/>
      <c r="K117" s="152"/>
      <c r="L117" s="152"/>
      <c r="M117" s="152"/>
      <c r="N117" s="152"/>
      <c r="O117" s="152"/>
      <c r="Q117" s="102"/>
    </row>
    <row r="118" spans="1:17" x14ac:dyDescent="0.25">
      <c r="A118" s="136" t="s">
        <v>100</v>
      </c>
      <c r="B118" s="153" t="str">
        <f>+$B$37</f>
        <v>FY2025</v>
      </c>
      <c r="C118" s="153" t="str">
        <f>+$C$37</f>
        <v>FY2026</v>
      </c>
      <c r="D118" s="153" t="str">
        <f>+$D$37</f>
        <v>FY2027</v>
      </c>
      <c r="E118" s="153" t="str">
        <f>+$E$37</f>
        <v>FY2028</v>
      </c>
      <c r="F118" s="153" t="str">
        <f>+$F$37</f>
        <v>FY2029</v>
      </c>
      <c r="G118" s="153" t="str">
        <f>+$G$37</f>
        <v>FY2030</v>
      </c>
      <c r="H118" s="153" t="str">
        <f>+$H$37</f>
        <v>FY2031</v>
      </c>
      <c r="I118" s="153" t="str">
        <f>CONCATENATE("FY",$AD$3+7)</f>
        <v>FY2032</v>
      </c>
      <c r="J118" s="153" t="str">
        <f>CONCATENATE("FY",$AD$3+8)</f>
        <v>FY2033</v>
      </c>
      <c r="K118" s="153" t="str">
        <f>CONCATENATE("FY",$AD$3+9)</f>
        <v>FY2034</v>
      </c>
      <c r="L118" s="153" t="str">
        <f>CONCATENATE("FY",$AD$3+10)</f>
        <v>FY2035</v>
      </c>
      <c r="M118" s="153" t="str">
        <f>CONCATENATE("FY",$AD$3+11)</f>
        <v>FY2036</v>
      </c>
      <c r="N118" s="152"/>
      <c r="O118" s="152"/>
      <c r="Q118" s="102"/>
    </row>
    <row r="119" spans="1:17" x14ac:dyDescent="0.25">
      <c r="A119" s="136" t="str">
        <f>IF(AND(B112="Contract College",B$6="Federal"),"   Contract (Federal) - Senior Personnel",IF(AND(B112="Contract College",B$6="Non-federal"),"   Contract (Non-federal) - Senior Personnel","   Endowed - Senior Personnel"))</f>
        <v xml:space="preserve">   Endowed - Senior Personnel</v>
      </c>
      <c r="B119" s="395">
        <f t="shared" ref="B119:M119" si="173">IF(AND($B112="Contract College",$B$6="Federal"),HLOOKUP(B118,FringeAndIDCRates,2,FALSE),IF(AND($B112="Contract College",$B$6="Non-Federal"),HLOOKUP(B118,FringeAndIDCRates,3,FALSE),HLOOKUP(B118,FringeAndIDCRates,4,FALSE)))</f>
        <v>0.35</v>
      </c>
      <c r="C119" s="395">
        <f t="shared" si="173"/>
        <v>0.35</v>
      </c>
      <c r="D119" s="395">
        <f t="shared" si="173"/>
        <v>0.35499999999999998</v>
      </c>
      <c r="E119" s="395">
        <f t="shared" si="173"/>
        <v>0.37</v>
      </c>
      <c r="F119" s="395">
        <f t="shared" si="173"/>
        <v>0.37</v>
      </c>
      <c r="G119" s="395">
        <f t="shared" si="173"/>
        <v>0.37</v>
      </c>
      <c r="H119" s="395">
        <f t="shared" si="173"/>
        <v>0.37</v>
      </c>
      <c r="I119" s="395">
        <f t="shared" si="173"/>
        <v>0.37</v>
      </c>
      <c r="J119" s="395">
        <f t="shared" si="173"/>
        <v>0.37</v>
      </c>
      <c r="K119" s="395">
        <f t="shared" si="173"/>
        <v>0.37</v>
      </c>
      <c r="L119" s="395">
        <f t="shared" si="173"/>
        <v>0.37</v>
      </c>
      <c r="M119" s="395">
        <f t="shared" si="173"/>
        <v>0.37</v>
      </c>
      <c r="N119" s="152"/>
      <c r="O119" s="152"/>
      <c r="Q119" s="102"/>
    </row>
    <row r="120" spans="1:17" x14ac:dyDescent="0.25">
      <c r="A120" s="136" t="str">
        <f>IF(AND(B$6="Federal",B115="Contract College"),"   Contract (Federal) - Post Doc",IF(AND(B$6="Non-federal",B115="Contract College"),"   Contract (Non-federal) - Post Doc","   Endowed - Post Doc"))</f>
        <v xml:space="preserve">   Endowed - Post Doc</v>
      </c>
      <c r="B120" s="395">
        <f t="shared" ref="B120:M120" si="174">IF($B115="Endowed College",HLOOKUP(B$37,FringeAndIDCRates,4,FALSE),IF($B$6="Federal",HLOOKUP(B$37,FringeAndIDCRates,2,FALSE),IF($B$6="Non-Federal",HLOOKUP(B$37,FringeAndIDCRates,3,FALSE))))</f>
        <v>0.35</v>
      </c>
      <c r="C120" s="395">
        <f t="shared" si="174"/>
        <v>0.35</v>
      </c>
      <c r="D120" s="395">
        <f t="shared" si="174"/>
        <v>0.35499999999999998</v>
      </c>
      <c r="E120" s="395">
        <f t="shared" si="174"/>
        <v>0.37</v>
      </c>
      <c r="F120" s="395">
        <f t="shared" si="174"/>
        <v>0.37</v>
      </c>
      <c r="G120" s="395">
        <f t="shared" si="174"/>
        <v>0.37</v>
      </c>
      <c r="H120" s="395">
        <f t="shared" si="174"/>
        <v>0.37</v>
      </c>
      <c r="I120" s="395">
        <f t="shared" si="174"/>
        <v>0.37</v>
      </c>
      <c r="J120" s="395">
        <f t="shared" si="174"/>
        <v>0.37</v>
      </c>
      <c r="K120" s="395">
        <f t="shared" si="174"/>
        <v>0.37</v>
      </c>
      <c r="L120" s="395">
        <f t="shared" si="174"/>
        <v>0.37</v>
      </c>
      <c r="M120" s="395">
        <f t="shared" si="174"/>
        <v>0.37</v>
      </c>
      <c r="N120" s="152"/>
      <c r="O120" s="152"/>
      <c r="Q120" s="102"/>
    </row>
    <row r="121" spans="1:17" x14ac:dyDescent="0.25">
      <c r="A121" s="136" t="str">
        <f>IF(AND(B$6="Federal",B116="Contract College"),"   Contract (Federal) - Other Employee",IF(AND(B$6="Non-federal",B116="Contract College"),"   Contract (Non-federal) - Other Empolyee","   Endowed - Other Employee"))</f>
        <v xml:space="preserve">   Endowed - Other Employee</v>
      </c>
      <c r="B121" s="395">
        <f t="shared" ref="B121:M121" si="175">IF($B116="Endowed College",HLOOKUP(B$37,FringeAndIDCRates,4,FALSE),IF($B$6="Federal",HLOOKUP(B$37,FringeAndIDCRates,2,FALSE),IF($B$6="Non-Federal",HLOOKUP(B$37,FringeAndIDCRates,3,FALSE))))</f>
        <v>0.35</v>
      </c>
      <c r="C121" s="395">
        <f t="shared" si="175"/>
        <v>0.35</v>
      </c>
      <c r="D121" s="395">
        <f t="shared" si="175"/>
        <v>0.35499999999999998</v>
      </c>
      <c r="E121" s="395">
        <f t="shared" si="175"/>
        <v>0.37</v>
      </c>
      <c r="F121" s="395">
        <f t="shared" si="175"/>
        <v>0.37</v>
      </c>
      <c r="G121" s="395">
        <f t="shared" si="175"/>
        <v>0.37</v>
      </c>
      <c r="H121" s="395">
        <f t="shared" si="175"/>
        <v>0.37</v>
      </c>
      <c r="I121" s="395">
        <f t="shared" si="175"/>
        <v>0.37</v>
      </c>
      <c r="J121" s="395">
        <f t="shared" si="175"/>
        <v>0.37</v>
      </c>
      <c r="K121" s="395">
        <f t="shared" si="175"/>
        <v>0.37</v>
      </c>
      <c r="L121" s="395">
        <f t="shared" si="175"/>
        <v>0.37</v>
      </c>
      <c r="M121" s="395">
        <f t="shared" si="175"/>
        <v>0.37</v>
      </c>
      <c r="N121" s="152"/>
      <c r="O121" s="152"/>
      <c r="Q121" s="102"/>
    </row>
    <row r="122" spans="1:17" x14ac:dyDescent="0.25">
      <c r="A122" s="136" t="str">
        <f>CONCATENATE("Cornell IDC Rate - ",B112)</f>
        <v>Cornell IDC Rate - Endowed College</v>
      </c>
      <c r="B122" s="395">
        <f t="shared" ref="B122:M122" si="176">IF($B113="Off",(HLOOKUP(B$37,FringeAndIDCRates,8,FALSE)),IF(AND($B$7="Other",$B113="On"),(HLOOKUP(B$37,FringeAndIDCRates,7,FALSE)),IF(AND($B113="On",$B112="Contract College",$B$7="Research"),(HLOOKUP(B$37,FringeAndIDCRates,5,FALSE)),(HLOOKUP(B$37,FringeAndIDCRates,6,FALSE)))))</f>
        <v>0.64</v>
      </c>
      <c r="C122" s="395">
        <f t="shared" si="176"/>
        <v>0.64</v>
      </c>
      <c r="D122" s="395">
        <f t="shared" si="176"/>
        <v>0.64</v>
      </c>
      <c r="E122" s="395">
        <f t="shared" si="176"/>
        <v>0.64</v>
      </c>
      <c r="F122" s="395">
        <f t="shared" si="176"/>
        <v>0.64</v>
      </c>
      <c r="G122" s="395">
        <f t="shared" si="176"/>
        <v>0.64</v>
      </c>
      <c r="H122" s="395">
        <f t="shared" si="176"/>
        <v>0.64</v>
      </c>
      <c r="I122" s="395">
        <f t="shared" si="176"/>
        <v>0.64</v>
      </c>
      <c r="J122" s="395">
        <f t="shared" si="176"/>
        <v>0.64</v>
      </c>
      <c r="K122" s="395">
        <f t="shared" si="176"/>
        <v>0.64</v>
      </c>
      <c r="L122" s="395">
        <f t="shared" si="176"/>
        <v>0.64</v>
      </c>
      <c r="M122" s="395">
        <f t="shared" si="176"/>
        <v>0.64</v>
      </c>
      <c r="N122" s="152"/>
      <c r="O122" s="152"/>
      <c r="Q122" s="102"/>
    </row>
    <row r="123" spans="1:17" x14ac:dyDescent="0.25">
      <c r="A123" s="136" t="str">
        <f>IF($B$8="Yes","","Rate Allowed by Sponsor:")</f>
        <v/>
      </c>
      <c r="B123" s="153" t="str">
        <f t="shared" ref="B123:M123" si="177">IF($B$8="Yes","",IF($B$8="No",HLOOKUP(B$37,FringeAndIDCRates,9,FALSE),(HLOOKUP(B$37,FringeAndIDCRates,9,FALSE))))</f>
        <v/>
      </c>
      <c r="C123" s="153" t="str">
        <f t="shared" si="177"/>
        <v/>
      </c>
      <c r="D123" s="153" t="str">
        <f t="shared" si="177"/>
        <v/>
      </c>
      <c r="E123" s="153" t="str">
        <f t="shared" si="177"/>
        <v/>
      </c>
      <c r="F123" s="153" t="str">
        <f t="shared" si="177"/>
        <v/>
      </c>
      <c r="G123" s="153" t="str">
        <f t="shared" si="177"/>
        <v/>
      </c>
      <c r="H123" s="153" t="str">
        <f t="shared" si="177"/>
        <v/>
      </c>
      <c r="I123" s="153" t="str">
        <f t="shared" si="177"/>
        <v/>
      </c>
      <c r="J123" s="153" t="str">
        <f t="shared" si="177"/>
        <v/>
      </c>
      <c r="K123" s="153" t="str">
        <f t="shared" si="177"/>
        <v/>
      </c>
      <c r="L123" s="153" t="str">
        <f t="shared" si="177"/>
        <v/>
      </c>
      <c r="M123" s="153" t="str">
        <f t="shared" si="177"/>
        <v/>
      </c>
      <c r="N123" s="240"/>
      <c r="O123" s="240"/>
      <c r="Q123" s="102"/>
    </row>
    <row r="124" spans="1:17" x14ac:dyDescent="0.25">
      <c r="B124" s="53"/>
      <c r="C124" s="53"/>
      <c r="D124" s="53"/>
      <c r="E124" s="53"/>
      <c r="F124" s="53"/>
      <c r="G124" s="53"/>
      <c r="H124" s="53"/>
    </row>
    <row r="125" spans="1:17" ht="20.25" x14ac:dyDescent="0.3">
      <c r="A125" s="40" t="s">
        <v>55</v>
      </c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</row>
    <row r="126" spans="1:17" ht="15.75" x14ac:dyDescent="0.25">
      <c r="A126" s="105" t="s">
        <v>87</v>
      </c>
      <c r="B126" s="106" t="str">
        <f>IF(B129=$AE$5,$AE$8,IF(B129=$AF$5,$AF$8,IF(B129=$AG$5,$AG$8,IF(B129=$AH$5,$AH$8,IF(B129=$AI$5,$AI$8,IF(B129=$AJ$5,$AJ$8,IF(B129=$AK$5,$AK$8,IF(B129=$AL$5,$AL$8,IF(B129=$AM$5,$AM$8,IF(B129=$AN$5,$AN$8,IF(B129=$AO$5,$AO$8,IF(B129=$AP$5,$AP$8," "))))))))))))</f>
        <v xml:space="preserve"> </v>
      </c>
      <c r="C126" s="106" t="str">
        <f t="shared" ref="C126:M126" si="178">IF(C129=$AE$5,$AE$8,IF(C129=$AF$5,$AF$8,IF(C129=$AG$5,$AG$8,IF(C129=$AH$5,$AH$8,IF(C129=$AI$5,$AI$8,IF(C129=$AJ$5,$AJ$8,IF(C129=$AK$5,$AK$8,IF(C129=$AL$5,$AL$8,IF(C129=$AM$5,$AM$8,IF(C129=$AN$5,$AN$8,IF(C129=$AO$5,$AO$8,IF(C129=$AP$5,$AP$8," "))))))))))))</f>
        <v>2025-2025</v>
      </c>
      <c r="D126" s="106" t="str">
        <f t="shared" si="178"/>
        <v>2026-2026</v>
      </c>
      <c r="E126" s="106" t="str">
        <f t="shared" si="178"/>
        <v>2027-2027</v>
      </c>
      <c r="F126" s="106" t="str">
        <f t="shared" si="178"/>
        <v>2028-2028</v>
      </c>
      <c r="G126" s="106" t="str">
        <f t="shared" si="178"/>
        <v>2029-2029</v>
      </c>
      <c r="H126" s="106" t="str">
        <f t="shared" si="178"/>
        <v>2030-2030</v>
      </c>
      <c r="I126" s="106" t="str">
        <f t="shared" si="178"/>
        <v>2031-2031</v>
      </c>
      <c r="J126" s="106" t="str">
        <f t="shared" si="178"/>
        <v>2032-2032</v>
      </c>
      <c r="K126" s="106" t="str">
        <f t="shared" si="178"/>
        <v>2033-2033</v>
      </c>
      <c r="L126" s="106" t="str">
        <f t="shared" si="178"/>
        <v>2034-2034</v>
      </c>
      <c r="M126" s="106" t="str">
        <f t="shared" si="178"/>
        <v>2035-2035</v>
      </c>
      <c r="N126" s="106" t="str">
        <f t="shared" ref="N126" si="179">IF(N129=$AE$5,$AE$8,IF(N129=$AF$5,$AF$8,IF(N129=$AG$5,$AG$8,IF(N129=$AH$5,$AH$8,IF(N129=$AI$5,$AI$8,IF(N129=$AJ$5,$AJ$8,IF(N129=$AK$5,$AK$8,IF(N129=$AL$5,$AL$8,IF(N129=$AM$5,$AM$8,IF(N129=$AN$5,$AN$8,IF(N129=$AO$5,$AO$8,IF(N129=$AP$5,$AP$8," "))))))))))))</f>
        <v>2036-2036</v>
      </c>
    </row>
    <row r="128" spans="1:17" x14ac:dyDescent="0.25">
      <c r="A128" s="145" t="str">
        <f>CONCATENATE("Calculation based on ",O130," month salary")</f>
        <v>Calculation based on 9 month salary</v>
      </c>
      <c r="B128" s="104" t="str">
        <f t="shared" ref="B128:L128" si="180">IF(AND(B129=$AE$5,$O130=9),$AE$3,IF(AND(B129=$AF$5,$O130=9),$AF$3,IF(AND(B129=$AG$5,$O130=9),$AG$3,IF(AND(B129=$AH$5,$O130=9),$AH$3,IF(AND(B129=$AI$5,$O130=9),$AI$3,IF(AND(B129=$AJ$5,$O130=9),$AJ$3,IF(AND(B129=$AK$5,$O130=9),$AK$3,IF(AND(B129=$AL$5,$O130=9),$AL$3,IF(AND(B129=$AM$5,$O130=9),$AM$3,IF(AND(B129=$AN$5,$O130=9),$AN$3,IF(AND(B129=$AO$5,$O130=9),$AO$3,IF(AND(B129=$AP$5,$O130=9),$AJ$3,IF(AND(B129=$AE$4,$O130=12),$AE$3,IF(AND(B129=$AF$4,$O130=12),$AF$3,IF(AND(B129=$AG$4,$O130=12),$AG$3,IF(AND(B129=$AH$4,$O130=12),$AH$3,IF(AND(B129=$AI$4,$O130=12),$AI$3,IF(AND(B129=$AJ$4,$O130=12),$AJ$3,IF(AND(B129=$AK$4,$O130=12),$AK$3,IF(AND(B129=$AL$4,$O130=12),$AL$3,IF(AND(B129=$AM$4,$O130=12),$AM$3,IF(AND(B129=$AN$4,$O130=12),$AN$3,IF(AND(B129=$AO$4,$O130=12),$AO$3,IF(AND(B129=$AP$4,$O130=12),$AJ$3," "))))))))))))))))))))))))</f>
        <v xml:space="preserve"> </v>
      </c>
      <c r="C128" s="104" t="str">
        <f t="shared" si="180"/>
        <v>Year 1</v>
      </c>
      <c r="D128" s="104" t="str">
        <f t="shared" si="180"/>
        <v>Year 2</v>
      </c>
      <c r="E128" s="104" t="str">
        <f t="shared" si="180"/>
        <v>Year 3</v>
      </c>
      <c r="F128" s="104" t="str">
        <f t="shared" si="180"/>
        <v>Year 4</v>
      </c>
      <c r="G128" s="104" t="str">
        <f t="shared" si="180"/>
        <v>Year 5</v>
      </c>
      <c r="H128" s="104" t="str">
        <f t="shared" si="180"/>
        <v>Year 6</v>
      </c>
      <c r="I128" s="104" t="str">
        <f t="shared" si="180"/>
        <v>Year 7</v>
      </c>
      <c r="J128" s="104" t="str">
        <f t="shared" si="180"/>
        <v>Year 8</v>
      </c>
      <c r="K128" s="104" t="str">
        <f t="shared" si="180"/>
        <v>Year 9</v>
      </c>
      <c r="L128" s="104" t="str">
        <f t="shared" si="180"/>
        <v>Year 10</v>
      </c>
      <c r="M128" s="104" t="str">
        <f>IF(AND(M129=$AE$5,$O130=9),$AE$3,IF(AND(M129=$AF$5,$O130=9),$AF$3,IF(AND(M129=$AG$5,$O130=9),$AG$3,IF(AND(M129=$AH$5,$O130=9),$AH$3,IF(AND(M129=$AI$5,$O130=9),$AI$3,IF(AND(M129=$AJ$5,$O130=9),$AJ$3,IF(AND(M129=$AK$5,$O130=9),$AK$3,IF(AND(M129=$AL$5,$O130=9),$AL$3,IF(AND(M129=$AM$5,$O130=9),$AM$3,IF(AND(M129=$AN$5,$O130=9),$AN$3,IF(AND(M129=$AO$5,$O130=9),$AO$3,IF(AND(M129=$AP$5,$O130=9),$AP$3,IF(AND(M129=$AQ$5,$O130=9),$AJ$3,IF(AND(M129=$AE$4,$O130=12),$AE$3,IF(AND(M129=$AF$4,$O130=12),$AF$3,IF(AND(M129=$AG$4,$O130=12),$AG$3,IF(AND(M129=$AH$4,$O130=12),$AH$3,IF(AND(M129=$AI$4,$O130=12),$AI$3,IF(AND(M129=$AJ$4,$O130=12),$AJ$3,IF(AND(M129=$AK$4,$O130=12),$AK$3,IF(AND(M129=$AL$4,$O130=12),$AL$3,IF(AND(M129=$AM$4,$O130=12),$AM$3,IF(AND(M129=$AN$4,$O130=12),$AN$3,IF(AND(M129=$AO$4,$O130=12),$AO$3,IF(AND(M129=$AP$4,$O130=12),$AP$3,IF(AND(M129=$AQ$4,$O130=12),$AJ$3," "))))))))))))))))))))))))))</f>
        <v>Year 11</v>
      </c>
      <c r="N128" s="104" t="str">
        <f>IF(AND(N129=$AE$5,$O130=9),$AE$3,IF(AND(N129=$AF$5,$O130=9),$AF$3,IF(AND(N129=$AG$5,$O130=9),$AG$3,IF(AND(N129=$AH$5,$O130=9),$AH$3,IF(AND(N129=$AI$5,$O130=9),$AI$3,IF(AND(N129=$AJ$5,$O130=9),$AJ$3,IF(AND(N129=$AK$5,$O130=9),$AK$3,IF(AND(N129=$AL$5,$O130=9),$AL$3,IF(AND(N129=$AM$5,$O130=9),$AM$3,IF(AND(N129=$AN$5,$O130=9),$AN$3,IF(AND(N129=$AO$5,$O130=9),$AO$3,IF(AND(N129=$AP$5,$O130=9),$AP$3,IF(AND(N129=$AQ$5,$O130=9),$AJ$3,IF(AND(N129=$AE$4,$O130=12),$AE$3,IF(AND(N129=$AF$4,$O130=12),$AF$3,IF(AND(N129=$AG$4,$O130=12),$AG$3,IF(AND(N129=$AH$4,$O130=12),$AH$3,IF(AND(N129=$AI$4,$O130=12),$AI$3,IF(AND(N129=$AJ$4,$O130=12),$AJ$3,IF(AND(N129=$AK$4,$O130=12),$AK$3,IF(AND(N129=$AL$4,$O130=12),$AL$3,IF(AND(N129=$AM$4,$O130=12),$AM$3,IF(AND(N129=$AN$4,$O130=12),$AN$3,IF(AND(N129=$AO$4,$O130=12),$AO$3,IF(AND(N129=$AP$4,$O130=12),$AP$3,IF(AND(N129=$AQ$4,$O130=12),$AJ$3," "))))))))))))))))))))))))))</f>
        <v>Year 12</v>
      </c>
    </row>
    <row r="129" spans="1:23" x14ac:dyDescent="0.25">
      <c r="A129" s="146" t="str">
        <f>+B109</f>
        <v>Co-PI</v>
      </c>
      <c r="B129" s="55" t="str">
        <f t="shared" ref="B129:I129" si="181">+N$2</f>
        <v>FY2025</v>
      </c>
      <c r="C129" s="55" t="str">
        <f t="shared" si="181"/>
        <v>FY2026</v>
      </c>
      <c r="D129" s="55" t="str">
        <f t="shared" si="181"/>
        <v>FY2027</v>
      </c>
      <c r="E129" s="55" t="str">
        <f t="shared" si="181"/>
        <v>FY2028</v>
      </c>
      <c r="F129" s="55" t="str">
        <f t="shared" si="181"/>
        <v>FY2029</v>
      </c>
      <c r="G129" s="55" t="str">
        <f t="shared" si="181"/>
        <v>FY2030</v>
      </c>
      <c r="H129" s="55" t="str">
        <f t="shared" si="181"/>
        <v>FY2031</v>
      </c>
      <c r="I129" s="55" t="str">
        <f t="shared" si="181"/>
        <v>FY2032</v>
      </c>
      <c r="J129" s="55" t="str">
        <f t="shared" ref="J129" si="182">+V$2</f>
        <v>FY2033</v>
      </c>
      <c r="K129" s="55" t="str">
        <f t="shared" ref="K129" si="183">+W$2</f>
        <v>FY2034</v>
      </c>
      <c r="L129" s="55" t="str">
        <f t="shared" ref="L129" si="184">+X$2</f>
        <v>FY2035</v>
      </c>
      <c r="M129" s="55" t="str">
        <f t="shared" ref="M129:N129" si="185">+Y$2</f>
        <v>FY2036</v>
      </c>
      <c r="N129" s="55" t="str">
        <f t="shared" si="185"/>
        <v>FY2037</v>
      </c>
      <c r="O129" s="32" t="s">
        <v>20</v>
      </c>
      <c r="P129" s="89"/>
      <c r="Q129" s="89"/>
    </row>
    <row r="130" spans="1:23" x14ac:dyDescent="0.25">
      <c r="A130" s="147" t="str">
        <f>CONCATENATE("Base Salary: ",O130," month term")</f>
        <v>Base Salary: 9 month term</v>
      </c>
      <c r="B130" s="383">
        <v>0</v>
      </c>
      <c r="C130" s="384">
        <f t="shared" ref="C130:N130" si="186">ROUND(+B130*(1+(HLOOKUP(C129,FringeAndIDCRates,10,FALSE))),0)</f>
        <v>0</v>
      </c>
      <c r="D130" s="384">
        <f t="shared" si="186"/>
        <v>0</v>
      </c>
      <c r="E130" s="384">
        <f t="shared" si="186"/>
        <v>0</v>
      </c>
      <c r="F130" s="384">
        <f t="shared" si="186"/>
        <v>0</v>
      </c>
      <c r="G130" s="384">
        <f t="shared" si="186"/>
        <v>0</v>
      </c>
      <c r="H130" s="384">
        <f t="shared" si="186"/>
        <v>0</v>
      </c>
      <c r="I130" s="384">
        <f t="shared" si="186"/>
        <v>0</v>
      </c>
      <c r="J130" s="384">
        <f t="shared" si="186"/>
        <v>0</v>
      </c>
      <c r="K130" s="384">
        <f t="shared" si="186"/>
        <v>0</v>
      </c>
      <c r="L130" s="384">
        <f t="shared" si="186"/>
        <v>0</v>
      </c>
      <c r="M130" s="384">
        <f t="shared" si="186"/>
        <v>0</v>
      </c>
      <c r="N130" s="384">
        <f t="shared" si="186"/>
        <v>0</v>
      </c>
      <c r="O130" s="310">
        <v>9</v>
      </c>
      <c r="P130" s="311"/>
      <c r="Q130" s="52"/>
    </row>
    <row r="131" spans="1:23" x14ac:dyDescent="0.25">
      <c r="A131" s="147" t="s">
        <v>44</v>
      </c>
      <c r="B131" s="312">
        <v>0</v>
      </c>
      <c r="C131" s="312">
        <v>0</v>
      </c>
      <c r="D131" s="312">
        <v>0</v>
      </c>
      <c r="E131" s="312">
        <v>0</v>
      </c>
      <c r="F131" s="312">
        <v>0</v>
      </c>
      <c r="G131" s="312">
        <v>0</v>
      </c>
      <c r="H131" s="312">
        <v>0</v>
      </c>
      <c r="I131" s="312">
        <v>0</v>
      </c>
      <c r="J131" s="312">
        <v>0</v>
      </c>
      <c r="K131" s="312">
        <v>0</v>
      </c>
      <c r="L131" s="312">
        <v>0</v>
      </c>
      <c r="M131" s="312">
        <v>0</v>
      </c>
      <c r="N131" s="312">
        <v>0</v>
      </c>
      <c r="O131" s="25"/>
      <c r="P131" s="25"/>
      <c r="Q131" s="25"/>
    </row>
    <row r="132" spans="1:23" x14ac:dyDescent="0.25">
      <c r="A132" s="147" t="str">
        <f>CONCATENATE("FTE for ",O130," Months")</f>
        <v>FTE for 9 Months</v>
      </c>
      <c r="B132" s="393">
        <f t="shared" ref="B132:M132" si="187">+B131/$O130</f>
        <v>0</v>
      </c>
      <c r="C132" s="393">
        <f t="shared" si="187"/>
        <v>0</v>
      </c>
      <c r="D132" s="393">
        <f t="shared" si="187"/>
        <v>0</v>
      </c>
      <c r="E132" s="393">
        <f t="shared" si="187"/>
        <v>0</v>
      </c>
      <c r="F132" s="393">
        <f t="shared" si="187"/>
        <v>0</v>
      </c>
      <c r="G132" s="393">
        <f t="shared" si="187"/>
        <v>0</v>
      </c>
      <c r="H132" s="393">
        <f t="shared" si="187"/>
        <v>0</v>
      </c>
      <c r="I132" s="393">
        <f t="shared" si="187"/>
        <v>0</v>
      </c>
      <c r="J132" s="393">
        <f t="shared" si="187"/>
        <v>0</v>
      </c>
      <c r="K132" s="393">
        <f t="shared" si="187"/>
        <v>0</v>
      </c>
      <c r="L132" s="393">
        <f t="shared" si="187"/>
        <v>0</v>
      </c>
      <c r="M132" s="393">
        <f t="shared" si="187"/>
        <v>0</v>
      </c>
      <c r="N132" s="393">
        <f t="shared" ref="N132" si="188">+N131/$O130</f>
        <v>0</v>
      </c>
      <c r="O132" s="89"/>
      <c r="P132" s="89"/>
      <c r="Q132" s="89"/>
    </row>
    <row r="133" spans="1:23" x14ac:dyDescent="0.25">
      <c r="A133" s="148" t="s">
        <v>56</v>
      </c>
      <c r="B133" s="394">
        <f t="shared" ref="B133:I133" si="189">+B131/12</f>
        <v>0</v>
      </c>
      <c r="C133" s="394">
        <f t="shared" si="189"/>
        <v>0</v>
      </c>
      <c r="D133" s="394">
        <f t="shared" si="189"/>
        <v>0</v>
      </c>
      <c r="E133" s="394">
        <f t="shared" si="189"/>
        <v>0</v>
      </c>
      <c r="F133" s="394">
        <f t="shared" si="189"/>
        <v>0</v>
      </c>
      <c r="G133" s="394">
        <f t="shared" si="189"/>
        <v>0</v>
      </c>
      <c r="H133" s="394">
        <f t="shared" ref="H133" si="190">+H131/12</f>
        <v>0</v>
      </c>
      <c r="I133" s="394">
        <f t="shared" si="189"/>
        <v>0</v>
      </c>
      <c r="J133" s="394">
        <f t="shared" ref="J133:L133" si="191">+J131/12</f>
        <v>0</v>
      </c>
      <c r="K133" s="394">
        <f t="shared" si="191"/>
        <v>0</v>
      </c>
      <c r="L133" s="394">
        <f t="shared" si="191"/>
        <v>0</v>
      </c>
      <c r="M133" s="394">
        <f t="shared" ref="M133:N133" si="192">+M131/12</f>
        <v>0</v>
      </c>
      <c r="N133" s="394">
        <f t="shared" si="192"/>
        <v>0</v>
      </c>
      <c r="O133" s="89"/>
      <c r="P133" s="89"/>
      <c r="Q133" s="89"/>
    </row>
    <row r="134" spans="1:23" x14ac:dyDescent="0.25">
      <c r="A134" s="147" t="s">
        <v>21</v>
      </c>
      <c r="B134" s="110">
        <f t="shared" ref="B134:K134" si="193">IF($O130=9,ROUND(B130*B132,0),IF($O130=12,ROUND((B130*B132*$Q$41)+(C130*B132*$Q$42),0),0))</f>
        <v>0</v>
      </c>
      <c r="C134" s="110">
        <f t="shared" si="193"/>
        <v>0</v>
      </c>
      <c r="D134" s="110">
        <f t="shared" si="193"/>
        <v>0</v>
      </c>
      <c r="E134" s="110">
        <f t="shared" si="193"/>
        <v>0</v>
      </c>
      <c r="F134" s="110">
        <f t="shared" si="193"/>
        <v>0</v>
      </c>
      <c r="G134" s="110">
        <f t="shared" si="193"/>
        <v>0</v>
      </c>
      <c r="H134" s="110">
        <f t="shared" si="193"/>
        <v>0</v>
      </c>
      <c r="I134" s="110">
        <f t="shared" si="193"/>
        <v>0</v>
      </c>
      <c r="J134" s="110">
        <f t="shared" si="193"/>
        <v>0</v>
      </c>
      <c r="K134" s="110">
        <f t="shared" si="193"/>
        <v>0</v>
      </c>
      <c r="L134" s="110">
        <f>IF($O130=9,ROUND(L130*L132,0),IF($O130=12,ROUND((L130*L132*$Q$41)+(N130*L132*$Q$42),0),0))</f>
        <v>0</v>
      </c>
      <c r="M134" s="110">
        <f>IF($O130=9,ROUND(M130*M132,0),IF($O130=12,ROUND((M130*M132*$Q$41)+(O130*M132*$Q$42),0),0))</f>
        <v>0</v>
      </c>
      <c r="N134" s="110">
        <f>IF($O130=9,ROUND(N130*N132,0),IF($O130=12,ROUND((N130*N132*$Q$41)+(P130*N132*$Q$42),0),0))</f>
        <v>0</v>
      </c>
      <c r="O134" s="89"/>
      <c r="P134" s="89"/>
      <c r="Q134" s="89"/>
    </row>
    <row r="135" spans="1:23" x14ac:dyDescent="0.25">
      <c r="A135" s="149"/>
      <c r="O135" s="89"/>
      <c r="P135" s="89"/>
      <c r="Q135" s="89"/>
    </row>
    <row r="136" spans="1:23" x14ac:dyDescent="0.25">
      <c r="A136" s="145" t="str">
        <f>CONCATENATE("Calculation based on ",O138," month salary")</f>
        <v>Calculation based on 9 month salary</v>
      </c>
      <c r="B136" s="104" t="str">
        <f t="shared" ref="B136:L136" si="194">IF(AND(B137=$AE$5,$O138=9),$AE$3,IF(AND(B137=$AF$5,$O138=9),$AF$3,IF(AND(B137=$AG$5,$O138=9),$AG$3,IF(AND(B137=$AH$5,$O138=9),$AH$3,IF(AND(B137=$AI$5,$O138=9),$AI$3,IF(AND(B137=$AJ$5,$O138=9),$AJ$3,IF(AND(B137=$AK$5,$O138=9),$AK$3,IF(AND(B137=$AL$5,$O138=9),$AL$3,IF(AND(B137=$AM$5,$O138=9),$AM$3,IF(AND(B137=$AN$5,$O138=9),$AN$3,IF(AND(B137=$AO$5,$O138=9),$AO$3,IF(AND(B137=$AP$5,$O138=9),$AJ$3,IF(AND(B137=$AE$4,$O138=12),$AE$3,IF(AND(B137=$AF$4,$O138=12),$AF$3,IF(AND(B137=$AG$4,$O138=12),$AG$3,IF(AND(B137=$AH$4,$O138=12),$AH$3,IF(AND(B137=$AI$4,$O138=12),$AI$3,IF(AND(B137=$AJ$4,$O138=12),$AJ$3,IF(AND(B137=$AK$4,$O138=12),$AK$3,IF(AND(B137=$AL$4,$O138=12),$AL$3,IF(AND(B137=$AM$4,$O138=12),$AM$3,IF(AND(B137=$AN$4,$O138=12),$AN$3,IF(AND(B137=$AO$4,$O138=12),$AO$3,IF(AND(B137=$AP$4,$O138=12),$AJ$3," "))))))))))))))))))))))))</f>
        <v xml:space="preserve"> </v>
      </c>
      <c r="C136" s="104" t="str">
        <f t="shared" si="194"/>
        <v>Year 1</v>
      </c>
      <c r="D136" s="104" t="str">
        <f t="shared" si="194"/>
        <v>Year 2</v>
      </c>
      <c r="E136" s="104" t="str">
        <f t="shared" si="194"/>
        <v>Year 3</v>
      </c>
      <c r="F136" s="104" t="str">
        <f t="shared" si="194"/>
        <v>Year 4</v>
      </c>
      <c r="G136" s="104" t="str">
        <f t="shared" si="194"/>
        <v>Year 5</v>
      </c>
      <c r="H136" s="104" t="str">
        <f t="shared" si="194"/>
        <v>Year 6</v>
      </c>
      <c r="I136" s="104" t="str">
        <f t="shared" si="194"/>
        <v>Year 7</v>
      </c>
      <c r="J136" s="104" t="str">
        <f t="shared" si="194"/>
        <v>Year 8</v>
      </c>
      <c r="K136" s="104" t="str">
        <f t="shared" si="194"/>
        <v>Year 9</v>
      </c>
      <c r="L136" s="104" t="str">
        <f t="shared" si="194"/>
        <v>Year 10</v>
      </c>
      <c r="M136" s="104" t="str">
        <f>IF(AND(M137=$AE$5,$O138=9),$AE$3,IF(AND(M137=$AF$5,$O138=9),$AF$3,IF(AND(M137=$AG$5,$O138=9),$AG$3,IF(AND(M137=$AH$5,$O138=9),$AH$3,IF(AND(M137=$AI$5,$O138=9),$AI$3,IF(AND(M137=$AJ$5,$O138=9),$AJ$3,IF(AND(M137=$AK$5,$O138=9),$AK$3,IF(AND(M137=$AL$5,$O138=9),$AL$3,IF(AND(M137=$AM$5,$O138=9),$AM$3,IF(AND(M137=$AN$5,$O138=9),$AN$3,IF(AND(M137=$AO$5,$O138=9),$AO$3,IF(AND(M137=$AP$5,$O138=9),$AP$3,IF(AND(M137=$AQ$5,$O138=9),$AJ$3,IF(AND(M137=$AE$4,$O138=12),$AE$3,IF(AND(M137=$AF$4,$O138=12),$AF$3,IF(AND(M137=$AG$4,$O138=12),$AG$3,IF(AND(M137=$AH$4,$O138=12),$AH$3,IF(AND(M137=$AI$4,$O138=12),$AI$3,IF(AND(M137=$AJ$4,$O138=12),$AJ$3,IF(AND(M137=$AK$4,$O138=12),$AK$3,IF(AND(M137=$AL$4,$O138=12),$AL$3,IF(AND(M137=$AM$4,$O138=12),$AM$3,IF(AND(M137=$AN$4,$O138=12),$AN$3,IF(AND(M137=$AO$4,$O138=12),$AO$3,IF(AND(M137=$AP$4,$O138=12),$AP$3,IF(AND(M137=$AQ$4,$O138=12),$AJ$3," "))))))))))))))))))))))))))</f>
        <v>Year 11</v>
      </c>
      <c r="N136" s="104" t="str">
        <f>IF(AND(N137=$AE$5,$O138=9),$AE$3,IF(AND(N137=$AF$5,$O138=9),$AF$3,IF(AND(N137=$AG$5,$O138=9),$AG$3,IF(AND(N137=$AH$5,$O138=9),$AH$3,IF(AND(N137=$AI$5,$O138=9),$AI$3,IF(AND(N137=$AJ$5,$O138=9),$AJ$3,IF(AND(N137=$AK$5,$O138=9),$AK$3,IF(AND(N137=$AL$5,$O138=9),$AL$3,IF(AND(N137=$AM$5,$O138=9),$AM$3,IF(AND(N137=$AN$5,$O138=9),$AN$3,IF(AND(N137=$AO$5,$O138=9),$AO$3,IF(AND(N137=$AP$5,$O138=9),$AP$3,IF(AND(N137=$AQ$5,$O138=9),$AJ$3,IF(AND(N137=$AE$4,$O138=12),$AE$3,IF(AND(N137=$AF$4,$O138=12),$AF$3,IF(AND(N137=$AG$4,$O138=12),$AG$3,IF(AND(N137=$AH$4,$O138=12),$AH$3,IF(AND(N137=$AI$4,$O138=12),$AI$3,IF(AND(N137=$AJ$4,$O138=12),$AJ$3,IF(AND(N137=$AK$4,$O138=12),$AK$3,IF(AND(N137=$AL$4,$O138=12),$AL$3,IF(AND(N137=$AM$4,$O138=12),$AM$3,IF(AND(N137=$AN$4,$O138=12),$AN$3,IF(AND(N137=$AO$4,$O138=12),$AO$3,IF(AND(N137=$AP$4,$O138=12),$AP$3,IF(AND(N137=$AQ$4,$O138=12),$AJ$3," "))))))))))))))))))))))))))</f>
        <v>Year 12</v>
      </c>
      <c r="O136" s="89"/>
      <c r="P136" s="89"/>
      <c r="Q136" s="89"/>
      <c r="V136" s="23"/>
    </row>
    <row r="137" spans="1:23" x14ac:dyDescent="0.25">
      <c r="A137" s="146" t="str">
        <f>+B110</f>
        <v>Co-PI</v>
      </c>
      <c r="B137" s="55" t="str">
        <f t="shared" ref="B137:I137" si="195">+N$2</f>
        <v>FY2025</v>
      </c>
      <c r="C137" s="55" t="str">
        <f t="shared" si="195"/>
        <v>FY2026</v>
      </c>
      <c r="D137" s="55" t="str">
        <f t="shared" si="195"/>
        <v>FY2027</v>
      </c>
      <c r="E137" s="55" t="str">
        <f t="shared" si="195"/>
        <v>FY2028</v>
      </c>
      <c r="F137" s="55" t="str">
        <f t="shared" si="195"/>
        <v>FY2029</v>
      </c>
      <c r="G137" s="55" t="str">
        <f t="shared" si="195"/>
        <v>FY2030</v>
      </c>
      <c r="H137" s="55" t="str">
        <f t="shared" si="195"/>
        <v>FY2031</v>
      </c>
      <c r="I137" s="55" t="str">
        <f t="shared" si="195"/>
        <v>FY2032</v>
      </c>
      <c r="J137" s="55" t="str">
        <f t="shared" ref="J137" si="196">+V$2</f>
        <v>FY2033</v>
      </c>
      <c r="K137" s="55" t="str">
        <f t="shared" ref="K137" si="197">+W$2</f>
        <v>FY2034</v>
      </c>
      <c r="L137" s="55" t="str">
        <f t="shared" ref="L137" si="198">+X$2</f>
        <v>FY2035</v>
      </c>
      <c r="M137" s="55" t="str">
        <f t="shared" ref="M137:N137" si="199">+Y$2</f>
        <v>FY2036</v>
      </c>
      <c r="N137" s="55" t="str">
        <f t="shared" si="199"/>
        <v>FY2037</v>
      </c>
      <c r="O137" s="32" t="s">
        <v>20</v>
      </c>
      <c r="P137" s="89"/>
      <c r="Q137" s="89"/>
      <c r="V137" s="23"/>
    </row>
    <row r="138" spans="1:23" x14ac:dyDescent="0.25">
      <c r="A138" s="147" t="str">
        <f>CONCATENATE("Base Salary: ",O138," month term")</f>
        <v>Base Salary: 9 month term</v>
      </c>
      <c r="B138" s="383">
        <v>0</v>
      </c>
      <c r="C138" s="384">
        <f t="shared" ref="C138:N138" si="200">ROUND(+B138*(1+(HLOOKUP(C137,FringeAndIDCRates,10,FALSE))),0)</f>
        <v>0</v>
      </c>
      <c r="D138" s="384">
        <f t="shared" si="200"/>
        <v>0</v>
      </c>
      <c r="E138" s="384">
        <f t="shared" si="200"/>
        <v>0</v>
      </c>
      <c r="F138" s="384">
        <f t="shared" si="200"/>
        <v>0</v>
      </c>
      <c r="G138" s="384">
        <f t="shared" si="200"/>
        <v>0</v>
      </c>
      <c r="H138" s="384">
        <f t="shared" si="200"/>
        <v>0</v>
      </c>
      <c r="I138" s="384">
        <f t="shared" si="200"/>
        <v>0</v>
      </c>
      <c r="J138" s="384">
        <f t="shared" si="200"/>
        <v>0</v>
      </c>
      <c r="K138" s="384">
        <f t="shared" si="200"/>
        <v>0</v>
      </c>
      <c r="L138" s="384">
        <f t="shared" si="200"/>
        <v>0</v>
      </c>
      <c r="M138" s="384">
        <f t="shared" si="200"/>
        <v>0</v>
      </c>
      <c r="N138" s="384">
        <f t="shared" si="200"/>
        <v>0</v>
      </c>
      <c r="O138" s="310">
        <v>9</v>
      </c>
      <c r="P138" s="311"/>
      <c r="Q138" s="52"/>
      <c r="V138" s="23"/>
    </row>
    <row r="139" spans="1:23" x14ac:dyDescent="0.25">
      <c r="A139" s="147" t="s">
        <v>44</v>
      </c>
      <c r="B139" s="312">
        <v>0</v>
      </c>
      <c r="C139" s="312">
        <v>0</v>
      </c>
      <c r="D139" s="312">
        <v>0</v>
      </c>
      <c r="E139" s="312">
        <v>0</v>
      </c>
      <c r="F139" s="312">
        <v>0</v>
      </c>
      <c r="G139" s="312">
        <v>0</v>
      </c>
      <c r="H139" s="312">
        <v>0</v>
      </c>
      <c r="I139" s="312">
        <v>0</v>
      </c>
      <c r="J139" s="312">
        <v>0</v>
      </c>
      <c r="K139" s="312">
        <v>0</v>
      </c>
      <c r="L139" s="312">
        <v>0</v>
      </c>
      <c r="M139" s="312">
        <v>0</v>
      </c>
      <c r="N139" s="312">
        <v>0</v>
      </c>
      <c r="O139" s="25"/>
      <c r="P139" s="25"/>
      <c r="Q139" s="25"/>
    </row>
    <row r="140" spans="1:23" x14ac:dyDescent="0.25">
      <c r="A140" s="147" t="str">
        <f>CONCATENATE("FTE for ",O138," Months")</f>
        <v>FTE for 9 Months</v>
      </c>
      <c r="B140" s="393">
        <f t="shared" ref="B140:M140" si="201">+B139/$O138</f>
        <v>0</v>
      </c>
      <c r="C140" s="393">
        <f t="shared" si="201"/>
        <v>0</v>
      </c>
      <c r="D140" s="393">
        <f t="shared" si="201"/>
        <v>0</v>
      </c>
      <c r="E140" s="393">
        <f t="shared" si="201"/>
        <v>0</v>
      </c>
      <c r="F140" s="393">
        <f t="shared" si="201"/>
        <v>0</v>
      </c>
      <c r="G140" s="393">
        <f t="shared" si="201"/>
        <v>0</v>
      </c>
      <c r="H140" s="393">
        <f t="shared" si="201"/>
        <v>0</v>
      </c>
      <c r="I140" s="393">
        <f t="shared" si="201"/>
        <v>0</v>
      </c>
      <c r="J140" s="393">
        <f t="shared" si="201"/>
        <v>0</v>
      </c>
      <c r="K140" s="393">
        <f t="shared" si="201"/>
        <v>0</v>
      </c>
      <c r="L140" s="393">
        <f t="shared" si="201"/>
        <v>0</v>
      </c>
      <c r="M140" s="393">
        <f t="shared" si="201"/>
        <v>0</v>
      </c>
      <c r="N140" s="393">
        <f t="shared" ref="N140" si="202">+N139/$O138</f>
        <v>0</v>
      </c>
      <c r="O140" s="89"/>
      <c r="P140" s="89"/>
      <c r="Q140" s="89"/>
    </row>
    <row r="141" spans="1:23" x14ac:dyDescent="0.25">
      <c r="A141" s="148" t="s">
        <v>56</v>
      </c>
      <c r="B141" s="394">
        <f>+B139/12</f>
        <v>0</v>
      </c>
      <c r="C141" s="394">
        <f>+C139/12</f>
        <v>0</v>
      </c>
      <c r="D141" s="394">
        <f t="shared" ref="D141:F141" si="203">+D139/12</f>
        <v>0</v>
      </c>
      <c r="E141" s="394">
        <f t="shared" si="203"/>
        <v>0</v>
      </c>
      <c r="F141" s="394">
        <f t="shared" si="203"/>
        <v>0</v>
      </c>
      <c r="G141" s="394">
        <f t="shared" ref="G141:L141" si="204">+G139/12</f>
        <v>0</v>
      </c>
      <c r="H141" s="394">
        <f t="shared" si="204"/>
        <v>0</v>
      </c>
      <c r="I141" s="394">
        <f t="shared" si="204"/>
        <v>0</v>
      </c>
      <c r="J141" s="394">
        <f t="shared" si="204"/>
        <v>0</v>
      </c>
      <c r="K141" s="394">
        <f t="shared" si="204"/>
        <v>0</v>
      </c>
      <c r="L141" s="394">
        <f t="shared" si="204"/>
        <v>0</v>
      </c>
      <c r="M141" s="394">
        <f t="shared" ref="M141:N141" si="205">+M139/12</f>
        <v>0</v>
      </c>
      <c r="N141" s="394">
        <f t="shared" si="205"/>
        <v>0</v>
      </c>
      <c r="O141" s="89"/>
      <c r="P141" s="89"/>
      <c r="Q141" s="89"/>
    </row>
    <row r="142" spans="1:23" x14ac:dyDescent="0.25">
      <c r="A142" s="147" t="s">
        <v>21</v>
      </c>
      <c r="B142" s="110">
        <f t="shared" ref="B142:K142" si="206">IF($O138=9,ROUND(B138*B140,0),IF($O138=12,ROUND((B138*B140*$Q$41)+(C138*B140*$Q$42),0),0))</f>
        <v>0</v>
      </c>
      <c r="C142" s="110">
        <f t="shared" si="206"/>
        <v>0</v>
      </c>
      <c r="D142" s="110">
        <f t="shared" si="206"/>
        <v>0</v>
      </c>
      <c r="E142" s="110">
        <f t="shared" si="206"/>
        <v>0</v>
      </c>
      <c r="F142" s="110">
        <f t="shared" si="206"/>
        <v>0</v>
      </c>
      <c r="G142" s="110">
        <f t="shared" si="206"/>
        <v>0</v>
      </c>
      <c r="H142" s="110">
        <f t="shared" si="206"/>
        <v>0</v>
      </c>
      <c r="I142" s="110">
        <f t="shared" si="206"/>
        <v>0</v>
      </c>
      <c r="J142" s="110">
        <f t="shared" si="206"/>
        <v>0</v>
      </c>
      <c r="K142" s="110">
        <f t="shared" si="206"/>
        <v>0</v>
      </c>
      <c r="L142" s="110">
        <f>IF($O138=9,ROUND(L138*L140,0),IF($O138=12,ROUND((L138*L140*$Q$41)+(N138*L140*$Q$42),0),0))</f>
        <v>0</v>
      </c>
      <c r="M142" s="110">
        <f>IF($O138=9,ROUND(M138*M140,0),IF($O138=12,ROUND((M138*M140*$Q$41)+(O138*M140*$Q$42),0),0))</f>
        <v>0</v>
      </c>
      <c r="N142" s="110">
        <f>IF($O138=9,ROUND(N138*N140,0),IF($O138=12,ROUND((N138*N140*$Q$41)+(P138*N140*$Q$42),0),0))</f>
        <v>0</v>
      </c>
      <c r="O142" s="89"/>
      <c r="P142" s="89"/>
      <c r="Q142" s="89"/>
    </row>
    <row r="143" spans="1:23" x14ac:dyDescent="0.25">
      <c r="A143" s="147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89"/>
      <c r="P143" s="89"/>
      <c r="Q143" s="89"/>
      <c r="R143" s="26"/>
      <c r="S143" s="23"/>
      <c r="T143" s="23"/>
      <c r="U143" s="23"/>
      <c r="V143" s="23"/>
      <c r="W143" s="23"/>
    </row>
    <row r="144" spans="1:23" x14ac:dyDescent="0.25">
      <c r="A144" s="145" t="str">
        <f>CONCATENATE("Calculation based on ",O146," month salary")</f>
        <v>Calculation based on 9 month salary</v>
      </c>
      <c r="B144" s="104" t="str">
        <f t="shared" ref="B144:L144" si="207">IF(AND(B145=$AE$5,$O146=9),$AE$3,IF(AND(B145=$AF$5,$O146=9),$AF$3,IF(AND(B145=$AG$5,$O146=9),$AG$3,IF(AND(B145=$AH$5,$O146=9),$AH$3,IF(AND(B145=$AI$5,$O146=9),$AI$3,IF(AND(B145=$AJ$5,$O146=9),$AJ$3,IF(AND(B145=$AK$5,$O146=9),$AK$3,IF(AND(B145=$AL$5,$O146=9),$AL$3,IF(AND(B145=$AM$5,$O146=9),$AM$3,IF(AND(B145=$AN$5,$O146=9),$AN$3,IF(AND(B145=$AO$5,$O146=9),$AO$3,IF(AND(B145=$AP$5,$O146=9),$AJ$3,IF(AND(B145=$AE$4,$O146=12),$AE$3,IF(AND(B145=$AF$4,$O146=12),$AF$3,IF(AND(B145=$AG$4,$O146=12),$AG$3,IF(AND(B145=$AH$4,$O146=12),$AH$3,IF(AND(B145=$AI$4,$O146=12),$AI$3,IF(AND(B145=$AJ$4,$O146=12),$AJ$3,IF(AND(B145=$AK$4,$O146=12),$AK$3,IF(AND(B145=$AL$4,$O146=12),$AL$3,IF(AND(B145=$AM$4,$O146=12),$AM$3,IF(AND(B145=$AN$4,$O146=12),$AN$3,IF(AND(B145=$AO$4,$O146=12),$AO$3,IF(AND(B145=$AP$4,$O146=12),$AJ$3," "))))))))))))))))))))))))</f>
        <v xml:space="preserve"> </v>
      </c>
      <c r="C144" s="104" t="str">
        <f t="shared" si="207"/>
        <v>Year 1</v>
      </c>
      <c r="D144" s="104" t="str">
        <f t="shared" si="207"/>
        <v>Year 2</v>
      </c>
      <c r="E144" s="104" t="str">
        <f t="shared" si="207"/>
        <v>Year 3</v>
      </c>
      <c r="F144" s="104" t="str">
        <f t="shared" si="207"/>
        <v>Year 4</v>
      </c>
      <c r="G144" s="104" t="str">
        <f t="shared" si="207"/>
        <v>Year 5</v>
      </c>
      <c r="H144" s="104" t="str">
        <f t="shared" si="207"/>
        <v>Year 6</v>
      </c>
      <c r="I144" s="104" t="str">
        <f t="shared" si="207"/>
        <v>Year 7</v>
      </c>
      <c r="J144" s="104" t="str">
        <f t="shared" si="207"/>
        <v>Year 8</v>
      </c>
      <c r="K144" s="104" t="str">
        <f t="shared" si="207"/>
        <v>Year 9</v>
      </c>
      <c r="L144" s="104" t="str">
        <f t="shared" si="207"/>
        <v>Year 10</v>
      </c>
      <c r="M144" s="104" t="str">
        <f>IF(AND(M145=$AE$5,$O146=9),$AE$3,IF(AND(M145=$AF$5,$O146=9),$AF$3,IF(AND(M145=$AG$5,$O146=9),$AG$3,IF(AND(M145=$AH$5,$O146=9),$AH$3,IF(AND(M145=$AI$5,$O146=9),$AI$3,IF(AND(M145=$AJ$5,$O146=9),$AJ$3,IF(AND(M145=$AK$5,$O146=9),$AK$3,IF(AND(M145=$AL$5,$O146=9),$AL$3,IF(AND(M145=$AM$5,$O146=9),$AM$3,IF(AND(M145=$AN$5,$O146=9),$AN$3,IF(AND(M145=$AO$5,$O146=9),$AO$3,IF(AND(M145=$AP$5,$O146=9),$AP$3,IF(AND(M145=$AQ$5,$O146=9),$AJ$3,IF(AND(M145=$AE$4,$O146=12),$AE$3,IF(AND(M145=$AF$4,$O146=12),$AF$3,IF(AND(M145=$AG$4,$O146=12),$AG$3,IF(AND(M145=$AH$4,$O146=12),$AH$3,IF(AND(M145=$AI$4,$O146=12),$AI$3,IF(AND(M145=$AJ$4,$O146=12),$AJ$3,IF(AND(M145=$AK$4,$O146=12),$AK$3,IF(AND(M145=$AL$4,$O146=12),$AL$3,IF(AND(M145=$AM$4,$O146=12),$AM$3,IF(AND(M145=$AN$4,$O146=12),$AN$3,IF(AND(M145=$AO$4,$O146=12),$AO$3,IF(AND(M145=$AP$4,$O146=12),$AP$3,IF(AND(M145=$AQ$4,$O146=12),$AJ$3," "))))))))))))))))))))))))))</f>
        <v>Year 11</v>
      </c>
      <c r="N144" s="104" t="str">
        <f>IF(AND(N145=$AE$5,$O146=9),$AE$3,IF(AND(N145=$AF$5,$O146=9),$AF$3,IF(AND(N145=$AG$5,$O146=9),$AG$3,IF(AND(N145=$AH$5,$O146=9),$AH$3,IF(AND(N145=$AI$5,$O146=9),$AI$3,IF(AND(N145=$AJ$5,$O146=9),$AJ$3,IF(AND(N145=$AK$5,$O146=9),$AK$3,IF(AND(N145=$AL$5,$O146=9),$AL$3,IF(AND(N145=$AM$5,$O146=9),$AM$3,IF(AND(N145=$AN$5,$O146=9),$AN$3,IF(AND(N145=$AO$5,$O146=9),$AO$3,IF(AND(N145=$AP$5,$O146=9),$AP$3,IF(AND(N145=$AQ$5,$O146=9),$AJ$3,IF(AND(N145=$AE$4,$O146=12),$AE$3,IF(AND(N145=$AF$4,$O146=12),$AF$3,IF(AND(N145=$AG$4,$O146=12),$AG$3,IF(AND(N145=$AH$4,$O146=12),$AH$3,IF(AND(N145=$AI$4,$O146=12),$AI$3,IF(AND(N145=$AJ$4,$O146=12),$AJ$3,IF(AND(N145=$AK$4,$O146=12),$AK$3,IF(AND(N145=$AL$4,$O146=12),$AL$3,IF(AND(N145=$AM$4,$O146=12),$AM$3,IF(AND(N145=$AN$4,$O146=12),$AN$3,IF(AND(N145=$AO$4,$O146=12),$AO$3,IF(AND(N145=$AP$4,$O146=12),$AP$3,IF(AND(N145=$AQ$4,$O146=12),$AJ$3," "))))))))))))))))))))))))))</f>
        <v>Year 12</v>
      </c>
      <c r="O144" s="89"/>
      <c r="P144" s="89"/>
      <c r="Q144" s="89"/>
    </row>
    <row r="145" spans="1:33" x14ac:dyDescent="0.25">
      <c r="A145" s="146" t="str">
        <f>+B111</f>
        <v>Co-PI</v>
      </c>
      <c r="B145" s="55" t="str">
        <f t="shared" ref="B145:I145" si="208">+N$2</f>
        <v>FY2025</v>
      </c>
      <c r="C145" s="55" t="str">
        <f t="shared" si="208"/>
        <v>FY2026</v>
      </c>
      <c r="D145" s="55" t="str">
        <f t="shared" si="208"/>
        <v>FY2027</v>
      </c>
      <c r="E145" s="55" t="str">
        <f t="shared" si="208"/>
        <v>FY2028</v>
      </c>
      <c r="F145" s="55" t="str">
        <f t="shared" si="208"/>
        <v>FY2029</v>
      </c>
      <c r="G145" s="55" t="str">
        <f t="shared" si="208"/>
        <v>FY2030</v>
      </c>
      <c r="H145" s="55" t="str">
        <f t="shared" si="208"/>
        <v>FY2031</v>
      </c>
      <c r="I145" s="55" t="str">
        <f t="shared" si="208"/>
        <v>FY2032</v>
      </c>
      <c r="J145" s="55" t="str">
        <f t="shared" ref="J145" si="209">+V$2</f>
        <v>FY2033</v>
      </c>
      <c r="K145" s="55" t="str">
        <f t="shared" ref="K145" si="210">+W$2</f>
        <v>FY2034</v>
      </c>
      <c r="L145" s="55" t="str">
        <f t="shared" ref="L145" si="211">+X$2</f>
        <v>FY2035</v>
      </c>
      <c r="M145" s="55" t="str">
        <f t="shared" ref="M145:N145" si="212">+Y$2</f>
        <v>FY2036</v>
      </c>
      <c r="N145" s="55" t="str">
        <f t="shared" si="212"/>
        <v>FY2037</v>
      </c>
      <c r="O145" s="32" t="s">
        <v>20</v>
      </c>
      <c r="P145" s="89"/>
      <c r="Q145" s="89"/>
    </row>
    <row r="146" spans="1:33" x14ac:dyDescent="0.25">
      <c r="A146" s="147" t="str">
        <f>CONCATENATE("Base Salary: ",O146," month term")</f>
        <v>Base Salary: 9 month term</v>
      </c>
      <c r="B146" s="383">
        <v>0</v>
      </c>
      <c r="C146" s="384">
        <f t="shared" ref="C146:N146" si="213">ROUND(+B146*(1+(HLOOKUP(C145,FringeAndIDCRates,10,FALSE))),0)</f>
        <v>0</v>
      </c>
      <c r="D146" s="384">
        <f t="shared" si="213"/>
        <v>0</v>
      </c>
      <c r="E146" s="384">
        <f t="shared" si="213"/>
        <v>0</v>
      </c>
      <c r="F146" s="384">
        <f t="shared" si="213"/>
        <v>0</v>
      </c>
      <c r="G146" s="384">
        <f t="shared" si="213"/>
        <v>0</v>
      </c>
      <c r="H146" s="384">
        <f t="shared" si="213"/>
        <v>0</v>
      </c>
      <c r="I146" s="384">
        <f t="shared" si="213"/>
        <v>0</v>
      </c>
      <c r="J146" s="384">
        <f t="shared" si="213"/>
        <v>0</v>
      </c>
      <c r="K146" s="384">
        <f t="shared" si="213"/>
        <v>0</v>
      </c>
      <c r="L146" s="384">
        <f t="shared" si="213"/>
        <v>0</v>
      </c>
      <c r="M146" s="384">
        <f t="shared" si="213"/>
        <v>0</v>
      </c>
      <c r="N146" s="384">
        <f t="shared" si="213"/>
        <v>0</v>
      </c>
      <c r="O146" s="310">
        <v>9</v>
      </c>
      <c r="P146" s="311"/>
      <c r="Q146" s="52"/>
    </row>
    <row r="147" spans="1:33" x14ac:dyDescent="0.25">
      <c r="A147" s="147" t="s">
        <v>44</v>
      </c>
      <c r="B147" s="312">
        <v>0</v>
      </c>
      <c r="C147" s="312">
        <v>0</v>
      </c>
      <c r="D147" s="312">
        <v>0</v>
      </c>
      <c r="E147" s="312">
        <v>0</v>
      </c>
      <c r="F147" s="312">
        <v>0</v>
      </c>
      <c r="G147" s="312">
        <v>0</v>
      </c>
      <c r="H147" s="312">
        <v>0</v>
      </c>
      <c r="I147" s="312">
        <v>0</v>
      </c>
      <c r="J147" s="312">
        <v>0</v>
      </c>
      <c r="K147" s="312">
        <v>0</v>
      </c>
      <c r="L147" s="312">
        <v>0</v>
      </c>
      <c r="M147" s="312">
        <v>0</v>
      </c>
      <c r="N147" s="312">
        <v>0</v>
      </c>
      <c r="O147" s="25"/>
      <c r="P147" s="25"/>
      <c r="Q147" s="154"/>
      <c r="R147" s="42" t="str">
        <f>+O$26</f>
        <v>Graduate Student (Stipend, Tuition, Health Ins)</v>
      </c>
    </row>
    <row r="148" spans="1:33" x14ac:dyDescent="0.25">
      <c r="A148" s="147" t="str">
        <f>CONCATENATE("FTE for ",O146," Months")</f>
        <v>FTE for 9 Months</v>
      </c>
      <c r="B148" s="393">
        <f t="shared" ref="B148:M148" si="214">+B147/$O146</f>
        <v>0</v>
      </c>
      <c r="C148" s="393">
        <f t="shared" si="214"/>
        <v>0</v>
      </c>
      <c r="D148" s="393">
        <f t="shared" si="214"/>
        <v>0</v>
      </c>
      <c r="E148" s="393">
        <f t="shared" si="214"/>
        <v>0</v>
      </c>
      <c r="F148" s="393">
        <f t="shared" si="214"/>
        <v>0</v>
      </c>
      <c r="G148" s="393">
        <f t="shared" si="214"/>
        <v>0</v>
      </c>
      <c r="H148" s="393">
        <f t="shared" si="214"/>
        <v>0</v>
      </c>
      <c r="I148" s="393">
        <f t="shared" si="214"/>
        <v>0</v>
      </c>
      <c r="J148" s="393">
        <f t="shared" si="214"/>
        <v>0</v>
      </c>
      <c r="K148" s="393">
        <f t="shared" si="214"/>
        <v>0</v>
      </c>
      <c r="L148" s="393">
        <f t="shared" si="214"/>
        <v>0</v>
      </c>
      <c r="M148" s="393">
        <f t="shared" si="214"/>
        <v>0</v>
      </c>
      <c r="N148" s="393">
        <f t="shared" ref="N148" si="215">+N147/$O146</f>
        <v>0</v>
      </c>
      <c r="O148" s="89"/>
      <c r="P148" s="89"/>
      <c r="Q148" s="154"/>
      <c r="R148" s="25"/>
      <c r="S148" s="113" t="str">
        <f>+$P$30</f>
        <v>FY2025</v>
      </c>
      <c r="T148" s="113" t="str">
        <f>+$Q$30</f>
        <v>FY2026</v>
      </c>
      <c r="U148" s="113" t="str">
        <f>+$R$30</f>
        <v>FY2027</v>
      </c>
      <c r="V148" s="113" t="str">
        <f>+$S$30</f>
        <v>FY2028</v>
      </c>
      <c r="W148" s="113" t="str">
        <f>+$T$30</f>
        <v>FY2029</v>
      </c>
      <c r="X148" s="113" t="str">
        <f>+$U$30</f>
        <v>FY2030</v>
      </c>
      <c r="Y148" s="113" t="str">
        <f>+$V$30</f>
        <v>FY2031</v>
      </c>
      <c r="Z148" s="113" t="str">
        <f>+$W$30</f>
        <v>FY2032</v>
      </c>
      <c r="AA148" s="113" t="str">
        <f>+$X$30</f>
        <v>FY2033</v>
      </c>
      <c r="AB148" s="113" t="str">
        <f>+$Y$30</f>
        <v>FY2034</v>
      </c>
      <c r="AC148" s="113" t="str">
        <f>+$Z$30</f>
        <v>FY2035</v>
      </c>
      <c r="AD148" s="113" t="str">
        <f>+$AA$30</f>
        <v>FY2036</v>
      </c>
      <c r="AE148" s="113" t="str">
        <f>+$AB$30</f>
        <v>FY2037</v>
      </c>
      <c r="AF148" s="114" t="s">
        <v>101</v>
      </c>
    </row>
    <row r="149" spans="1:33" x14ac:dyDescent="0.25">
      <c r="A149" s="148" t="s">
        <v>56</v>
      </c>
      <c r="B149" s="394">
        <f>+B147/12</f>
        <v>0</v>
      </c>
      <c r="C149" s="394">
        <f>+C147/12</f>
        <v>0</v>
      </c>
      <c r="D149" s="394">
        <f t="shared" ref="D149:F149" si="216">+D147/12</f>
        <v>0</v>
      </c>
      <c r="E149" s="394">
        <f t="shared" si="216"/>
        <v>0</v>
      </c>
      <c r="F149" s="394">
        <f t="shared" si="216"/>
        <v>0</v>
      </c>
      <c r="G149" s="394">
        <f t="shared" ref="G149:L149" si="217">+G147/12</f>
        <v>0</v>
      </c>
      <c r="H149" s="394">
        <f t="shared" si="217"/>
        <v>0</v>
      </c>
      <c r="I149" s="394">
        <f t="shared" si="217"/>
        <v>0</v>
      </c>
      <c r="J149" s="394">
        <f t="shared" si="217"/>
        <v>0</v>
      </c>
      <c r="K149" s="394">
        <f>+K147/12</f>
        <v>0</v>
      </c>
      <c r="L149" s="394">
        <f t="shared" si="217"/>
        <v>0</v>
      </c>
      <c r="M149" s="394">
        <f t="shared" ref="M149:N149" si="218">+M147/12</f>
        <v>0</v>
      </c>
      <c r="N149" s="394">
        <f t="shared" si="218"/>
        <v>0</v>
      </c>
      <c r="O149" s="89"/>
      <c r="P149" s="89"/>
      <c r="Q149" s="154"/>
      <c r="R149" s="30" t="s">
        <v>35</v>
      </c>
      <c r="S149" s="101">
        <f>+$P$31</f>
        <v>33930</v>
      </c>
      <c r="T149" s="101">
        <f>IF(ROUND(S149*(1+$AF149),0)=$Q$31,ROUND(S149*(1+$AF149),0),$Q$31)</f>
        <v>35627</v>
      </c>
      <c r="U149" s="101">
        <f t="shared" ref="U149:AE149" si="219">ROUND(T149*(1+$AF149),0)</f>
        <v>37408</v>
      </c>
      <c r="V149" s="101">
        <f t="shared" si="219"/>
        <v>39278</v>
      </c>
      <c r="W149" s="101">
        <f t="shared" si="219"/>
        <v>41242</v>
      </c>
      <c r="X149" s="101">
        <f t="shared" si="219"/>
        <v>43304</v>
      </c>
      <c r="Y149" s="101">
        <f t="shared" si="219"/>
        <v>45469</v>
      </c>
      <c r="Z149" s="101">
        <f t="shared" si="219"/>
        <v>47742</v>
      </c>
      <c r="AA149" s="101">
        <f t="shared" si="219"/>
        <v>50129</v>
      </c>
      <c r="AB149" s="101">
        <f t="shared" si="219"/>
        <v>52635</v>
      </c>
      <c r="AC149" s="101">
        <f t="shared" si="219"/>
        <v>55267</v>
      </c>
      <c r="AD149" s="101">
        <f t="shared" si="219"/>
        <v>58030</v>
      </c>
      <c r="AE149" s="101">
        <f t="shared" si="219"/>
        <v>60932</v>
      </c>
      <c r="AF149" s="31">
        <v>0.05</v>
      </c>
    </row>
    <row r="150" spans="1:33" x14ac:dyDescent="0.25">
      <c r="A150" s="147" t="s">
        <v>21</v>
      </c>
      <c r="B150" s="110">
        <f t="shared" ref="B150:K150" si="220">IF($O146=9,ROUND(B146*B148,0),IF($O146=12,ROUND((B146*B148*$Q$41)+(C146*B148*$Q$42),0),0))</f>
        <v>0</v>
      </c>
      <c r="C150" s="110">
        <f t="shared" si="220"/>
        <v>0</v>
      </c>
      <c r="D150" s="110">
        <f t="shared" si="220"/>
        <v>0</v>
      </c>
      <c r="E150" s="110">
        <f t="shared" si="220"/>
        <v>0</v>
      </c>
      <c r="F150" s="110">
        <f t="shared" si="220"/>
        <v>0</v>
      </c>
      <c r="G150" s="110">
        <f t="shared" si="220"/>
        <v>0</v>
      </c>
      <c r="H150" s="110">
        <f t="shared" si="220"/>
        <v>0</v>
      </c>
      <c r="I150" s="110">
        <f t="shared" si="220"/>
        <v>0</v>
      </c>
      <c r="J150" s="110">
        <f t="shared" si="220"/>
        <v>0</v>
      </c>
      <c r="K150" s="110">
        <f t="shared" si="220"/>
        <v>0</v>
      </c>
      <c r="L150" s="110">
        <f>IF($O146=9,ROUND(L146*L148,0),IF($O146=12,ROUND((L146*L148*$Q$41)+(N146*L148*$Q$42),0),0))</f>
        <v>0</v>
      </c>
      <c r="M150" s="110">
        <f>IF($O146=9,ROUND(M146*M148,0),IF($O146=12,ROUND((M146*M148*$Q$41)+(O146*M148*$Q$42),0),0))</f>
        <v>0</v>
      </c>
      <c r="N150" s="110">
        <f>IF($O146=9,ROUND(N146*N148,0),IF($O146=12,ROUND((N146*N148*$Q$41)+(P146*N148*$Q$42),0),0))</f>
        <v>0</v>
      </c>
      <c r="O150" s="89"/>
      <c r="P150" s="89"/>
      <c r="Q150" s="154"/>
      <c r="R150" s="30" t="s">
        <v>23</v>
      </c>
      <c r="S150" s="101">
        <f>+$P$32</f>
        <v>11310</v>
      </c>
      <c r="T150" s="101">
        <f>IF(ROUND(S150*(1+$AF150),0)=$Q$32,ROUND(S150*(1+$AF150),0),$Q$32)</f>
        <v>11876</v>
      </c>
      <c r="U150" s="101">
        <f t="shared" ref="U150:AE150" si="221">ROUND(T150*(1+$AF150),0)</f>
        <v>12470</v>
      </c>
      <c r="V150" s="101">
        <f t="shared" si="221"/>
        <v>13094</v>
      </c>
      <c r="W150" s="101">
        <f t="shared" si="221"/>
        <v>13749</v>
      </c>
      <c r="X150" s="101">
        <f t="shared" si="221"/>
        <v>14436</v>
      </c>
      <c r="Y150" s="101">
        <f t="shared" si="221"/>
        <v>15158</v>
      </c>
      <c r="Z150" s="101">
        <f t="shared" si="221"/>
        <v>15916</v>
      </c>
      <c r="AA150" s="101">
        <f t="shared" si="221"/>
        <v>16712</v>
      </c>
      <c r="AB150" s="101">
        <f t="shared" si="221"/>
        <v>17548</v>
      </c>
      <c r="AC150" s="101">
        <f t="shared" si="221"/>
        <v>18425</v>
      </c>
      <c r="AD150" s="101">
        <f t="shared" si="221"/>
        <v>19346</v>
      </c>
      <c r="AE150" s="101">
        <f t="shared" si="221"/>
        <v>20313</v>
      </c>
      <c r="AF150" s="66">
        <v>0.05</v>
      </c>
    </row>
    <row r="151" spans="1:33" x14ac:dyDescent="0.25">
      <c r="A151" s="147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89"/>
      <c r="P151" s="89"/>
      <c r="Q151" s="154"/>
      <c r="R151" s="30" t="s">
        <v>30</v>
      </c>
      <c r="S151" s="101">
        <f>+$P$33</f>
        <v>45240</v>
      </c>
      <c r="T151" s="101">
        <f>+T149+T150</f>
        <v>47503</v>
      </c>
      <c r="U151" s="101">
        <f t="shared" ref="U151:AD151" si="222">+U149+U150</f>
        <v>49878</v>
      </c>
      <c r="V151" s="101">
        <f t="shared" si="222"/>
        <v>52372</v>
      </c>
      <c r="W151" s="101">
        <f t="shared" si="222"/>
        <v>54991</v>
      </c>
      <c r="X151" s="101">
        <f t="shared" si="222"/>
        <v>57740</v>
      </c>
      <c r="Y151" s="101">
        <f t="shared" si="222"/>
        <v>60627</v>
      </c>
      <c r="Z151" s="101">
        <f t="shared" si="222"/>
        <v>63658</v>
      </c>
      <c r="AA151" s="101">
        <f t="shared" si="222"/>
        <v>66841</v>
      </c>
      <c r="AB151" s="101">
        <f t="shared" si="222"/>
        <v>70183</v>
      </c>
      <c r="AC151" s="101">
        <f t="shared" si="222"/>
        <v>73692</v>
      </c>
      <c r="AD151" s="101">
        <f t="shared" si="222"/>
        <v>77376</v>
      </c>
      <c r="AE151" s="101">
        <f t="shared" ref="AE151" si="223">+AE149+AE150</f>
        <v>81245</v>
      </c>
      <c r="AF151" s="31"/>
    </row>
    <row r="152" spans="1:33" x14ac:dyDescent="0.25">
      <c r="A152" s="147"/>
      <c r="B152" s="104" t="str">
        <f t="shared" ref="B152:L152" si="224">IF(AND(B153=$AE$5,$O154=9),$AE$3,IF(AND(B153=$AF$5,$O154=9),$AF$3,IF(AND(B153=$AG$5,$O154=9),$AG$3,IF(AND(B153=$AH$5,$O154=9),$AH$3,IF(AND(B153=$AI$5,$O154=9),$AI$3,IF(AND(B153=$AJ$5,$O154=9),$AJ$3,IF(AND(B153=$AK$5,$O154=9),$AK$3,IF(AND(B153=$AL$5,$O154=9),$AL$3,IF(AND(B153=$AM$5,$O154=9),$AM$3,IF(AND(B153=$AN$5,$O154=9),$AN$3,IF(AND(B153=$AO$5,$O154=9),$AO$3,IF(AND(B153=$AP$5,$O154=9),$AJ$3,IF(AND(B153=$AE$4,$O154=12),$AE$3,IF(AND(B153=$AF$4,$O154=12),$AF$3,IF(AND(B153=$AG$4,$O154=12),$AG$3,IF(AND(B153=$AH$4,$O154=12),$AH$3,IF(AND(B153=$AI$4,$O154=12),$AI$3,IF(AND(B153=$AJ$4,$O154=12),$AJ$3,IF(AND(B153=$AK$4,$O154=12),$AK$3,IF(AND(B153=$AL$4,$O154=12),$AL$3,IF(AND(B153=$AM$4,$O154=12),$AM$3,IF(AND(B153=$AN$4,$O154=12),$AN$3,IF(AND(B153=$AO$4,$O154=12),$AO$3,IF(AND(B153=$AP$4,$O154=12),$AJ$3," "))))))))))))))))))))))))</f>
        <v>Year 1</v>
      </c>
      <c r="C152" s="104" t="str">
        <f t="shared" si="224"/>
        <v>Year 2</v>
      </c>
      <c r="D152" s="104" t="str">
        <f t="shared" si="224"/>
        <v>Year 3</v>
      </c>
      <c r="E152" s="104" t="str">
        <f t="shared" si="224"/>
        <v>Year 4</v>
      </c>
      <c r="F152" s="104" t="str">
        <f t="shared" si="224"/>
        <v>Year 5</v>
      </c>
      <c r="G152" s="104" t="str">
        <f t="shared" si="224"/>
        <v>Year 6</v>
      </c>
      <c r="H152" s="104" t="str">
        <f t="shared" si="224"/>
        <v>Year 7</v>
      </c>
      <c r="I152" s="104" t="str">
        <f t="shared" si="224"/>
        <v>Year 8</v>
      </c>
      <c r="J152" s="104" t="str">
        <f t="shared" si="224"/>
        <v>Year 9</v>
      </c>
      <c r="K152" s="104" t="str">
        <f t="shared" si="224"/>
        <v>Year 10</v>
      </c>
      <c r="L152" s="104" t="str">
        <f t="shared" si="224"/>
        <v>Year 11</v>
      </c>
      <c r="M152" s="104" t="str">
        <f t="shared" ref="M152" si="225">IF(AND(M153=$AE$5,$O154=9),$AE$3,IF(AND(M153=$AF$5,$O154=9),$AF$3,IF(AND(M153=$AG$5,$O154=9),$AG$3,IF(AND(M153=$AH$5,$O154=9),$AH$3,IF(AND(M153=$AI$5,$O154=9),$AI$3,IF(AND(M153=$AJ$5,$O154=9),$AJ$3,IF(AND(M153=$AK$5,$O154=9),$AK$3,IF(AND(M153=$AL$5,$O154=9),$AL$3,IF(AND(M153=$AM$5,$O154=9),$AM$3,IF(AND(M153=$AN$5,$O154=9),$AN$3,IF(AND(M153=$AO$5,$O154=9),$AO$3,IF(AND(M153=$AP$5,$O154=9),$AJ$3,IF(AND(M153=$AE$4,$O154=12),$AE$3,IF(AND(M153=$AF$4,$O154=12),$AF$3,IF(AND(M153=$AG$4,$O154=12),$AG$3,IF(AND(M153=$AH$4,$O154=12),$AH$3,IF(AND(M153=$AI$4,$O154=12),$AI$3,IF(AND(M153=$AJ$4,$O154=12),$AJ$3,IF(AND(M153=$AK$4,$O154=12),$AK$3,IF(AND(M153=$AL$4,$O154=12),$AL$3,IF(AND(M153=$AM$4,$O154=12),$AM$3,IF(AND(M153=$AN$4,$O154=12),$AN$3,IF(AND(M153=$AO$4,$O154=12),$AO$3,IF(AND(M153=$AP$4,$O154=12),$AJ$3," "))))))))))))))))))))))))</f>
        <v>Year 6</v>
      </c>
      <c r="N152" s="104"/>
      <c r="O152" s="89"/>
      <c r="P152" s="89"/>
      <c r="Q152" s="154"/>
      <c r="R152" s="30" t="s">
        <v>8</v>
      </c>
      <c r="S152" s="101">
        <f>IF($B$112="Contract College",P$34,P$35)</f>
        <v>10400</v>
      </c>
      <c r="T152" s="101">
        <f>IF($B$112="Contract College",Q$34,Q$35)</f>
        <v>10400</v>
      </c>
      <c r="U152" s="101">
        <f>IF($B$112="Contract College",R$34,R$35)</f>
        <v>10400</v>
      </c>
      <c r="V152" s="101">
        <f t="shared" ref="V152:AE152" si="226">IF($B$112="Contract College",S$34,S$35)</f>
        <v>10400</v>
      </c>
      <c r="W152" s="101">
        <f t="shared" si="226"/>
        <v>10400</v>
      </c>
      <c r="X152" s="101">
        <f t="shared" si="226"/>
        <v>10400</v>
      </c>
      <c r="Y152" s="101">
        <f t="shared" si="226"/>
        <v>10400</v>
      </c>
      <c r="Z152" s="101">
        <f t="shared" si="226"/>
        <v>10400</v>
      </c>
      <c r="AA152" s="101">
        <f t="shared" si="226"/>
        <v>10400</v>
      </c>
      <c r="AB152" s="101">
        <f t="shared" si="226"/>
        <v>10400</v>
      </c>
      <c r="AC152" s="101">
        <f t="shared" si="226"/>
        <v>10400</v>
      </c>
      <c r="AD152" s="101">
        <f t="shared" si="226"/>
        <v>10400</v>
      </c>
      <c r="AE152" s="101">
        <f t="shared" si="226"/>
        <v>10400</v>
      </c>
      <c r="AF152" s="31">
        <v>0</v>
      </c>
      <c r="AG152" t="s">
        <v>204</v>
      </c>
    </row>
    <row r="153" spans="1:33" x14ac:dyDescent="0.25">
      <c r="A153" s="146" t="s">
        <v>102</v>
      </c>
      <c r="B153" s="55" t="str">
        <f t="shared" ref="B153:I153" si="227">+N$2</f>
        <v>FY2025</v>
      </c>
      <c r="C153" s="55" t="str">
        <f t="shared" si="227"/>
        <v>FY2026</v>
      </c>
      <c r="D153" s="55" t="str">
        <f t="shared" si="227"/>
        <v>FY2027</v>
      </c>
      <c r="E153" s="55" t="str">
        <f t="shared" si="227"/>
        <v>FY2028</v>
      </c>
      <c r="F153" s="55" t="str">
        <f t="shared" si="227"/>
        <v>FY2029</v>
      </c>
      <c r="G153" s="55" t="str">
        <f t="shared" si="227"/>
        <v>FY2030</v>
      </c>
      <c r="H153" s="55" t="str">
        <f t="shared" si="227"/>
        <v>FY2031</v>
      </c>
      <c r="I153" s="55" t="str">
        <f t="shared" si="227"/>
        <v>FY2032</v>
      </c>
      <c r="J153" s="55" t="str">
        <f t="shared" ref="J153" si="228">+V$2</f>
        <v>FY2033</v>
      </c>
      <c r="K153" s="55" t="str">
        <f t="shared" ref="K153:M153" si="229">+W$2</f>
        <v>FY2034</v>
      </c>
      <c r="L153" s="55" t="str">
        <f t="shared" si="229"/>
        <v>FY2035</v>
      </c>
      <c r="M153" s="55" t="str">
        <f t="shared" si="229"/>
        <v>FY2036</v>
      </c>
      <c r="N153" s="55"/>
      <c r="O153" s="32" t="s">
        <v>20</v>
      </c>
      <c r="P153" s="89"/>
      <c r="Q153" s="154"/>
      <c r="R153" s="30" t="s">
        <v>24</v>
      </c>
      <c r="S153" s="101">
        <f>+$P$36</f>
        <v>4378</v>
      </c>
      <c r="T153" s="101">
        <f>IF(ROUND(S153*(1+$AF153),0)=$Q$36,ROUND(S153*(1+$AF153),0),$Q$36)</f>
        <v>4816</v>
      </c>
      <c r="U153" s="101">
        <f t="shared" ref="U153:AE153" si="230">ROUND(T153*(1+$AF153),0)</f>
        <v>5298</v>
      </c>
      <c r="V153" s="101">
        <f t="shared" si="230"/>
        <v>5828</v>
      </c>
      <c r="W153" s="101">
        <f t="shared" si="230"/>
        <v>6411</v>
      </c>
      <c r="X153" s="101">
        <f t="shared" si="230"/>
        <v>7052</v>
      </c>
      <c r="Y153" s="101">
        <f t="shared" si="230"/>
        <v>7757</v>
      </c>
      <c r="Z153" s="101">
        <f t="shared" si="230"/>
        <v>8533</v>
      </c>
      <c r="AA153" s="101">
        <f t="shared" si="230"/>
        <v>9386</v>
      </c>
      <c r="AB153" s="101">
        <f t="shared" si="230"/>
        <v>10325</v>
      </c>
      <c r="AC153" s="101">
        <f t="shared" si="230"/>
        <v>11358</v>
      </c>
      <c r="AD153" s="101">
        <f t="shared" si="230"/>
        <v>12494</v>
      </c>
      <c r="AE153" s="101">
        <f t="shared" si="230"/>
        <v>13743</v>
      </c>
      <c r="AF153" s="31">
        <v>0.1</v>
      </c>
    </row>
    <row r="154" spans="1:33" x14ac:dyDescent="0.25">
      <c r="A154" s="147" t="str">
        <f>CONCATENATE("Base Salary: ",O154," month term")</f>
        <v>Base Salary: 12 month term</v>
      </c>
      <c r="B154" s="62">
        <f>PostdocMinRate</f>
        <v>61008</v>
      </c>
      <c r="C154" s="445">
        <f t="shared" ref="C154:M154" si="231">ROUND(+B154*(1+(HLOOKUP(C153,FringeAndIDCRates,11,FALSE))),0)</f>
        <v>63143</v>
      </c>
      <c r="D154" s="445">
        <f t="shared" si="231"/>
        <v>65227</v>
      </c>
      <c r="E154" s="445">
        <f t="shared" si="231"/>
        <v>67184</v>
      </c>
      <c r="F154" s="445">
        <f t="shared" si="231"/>
        <v>69200</v>
      </c>
      <c r="G154" s="445">
        <f t="shared" si="231"/>
        <v>71276</v>
      </c>
      <c r="H154" s="445">
        <f t="shared" si="231"/>
        <v>73414</v>
      </c>
      <c r="I154" s="445">
        <f t="shared" si="231"/>
        <v>75616</v>
      </c>
      <c r="J154" s="445">
        <f t="shared" si="231"/>
        <v>77884</v>
      </c>
      <c r="K154" s="445">
        <f t="shared" si="231"/>
        <v>80221</v>
      </c>
      <c r="L154" s="445">
        <f t="shared" si="231"/>
        <v>82628</v>
      </c>
      <c r="M154" s="445">
        <f t="shared" si="231"/>
        <v>85107</v>
      </c>
      <c r="N154" s="109"/>
      <c r="O154" s="317">
        <v>12</v>
      </c>
      <c r="P154" s="318"/>
      <c r="Q154" s="154"/>
      <c r="Y154" s="23"/>
    </row>
    <row r="155" spans="1:33" x14ac:dyDescent="0.25">
      <c r="A155" s="147" t="s">
        <v>44</v>
      </c>
      <c r="B155" s="312">
        <v>0</v>
      </c>
      <c r="C155" s="312">
        <v>0</v>
      </c>
      <c r="D155" s="312">
        <v>0</v>
      </c>
      <c r="E155" s="312">
        <v>0</v>
      </c>
      <c r="F155" s="312">
        <v>0</v>
      </c>
      <c r="G155" s="312">
        <v>0</v>
      </c>
      <c r="H155" s="312">
        <v>0</v>
      </c>
      <c r="I155" s="312">
        <v>0</v>
      </c>
      <c r="J155" s="312">
        <v>0</v>
      </c>
      <c r="K155" s="312">
        <v>0</v>
      </c>
      <c r="L155" s="312">
        <v>0</v>
      </c>
      <c r="M155" s="312">
        <v>0</v>
      </c>
      <c r="N155" s="400"/>
      <c r="O155" s="25"/>
      <c r="P155" s="25"/>
      <c r="Q155" s="154"/>
      <c r="Y155" s="23"/>
    </row>
    <row r="156" spans="1:33" x14ac:dyDescent="0.25">
      <c r="A156" s="147" t="str">
        <f>CONCATENATE("FTE for ",O154," Months")</f>
        <v>FTE for 12 Months</v>
      </c>
      <c r="B156" s="393">
        <f t="shared" ref="B156:L156" si="232">+B155/$O154</f>
        <v>0</v>
      </c>
      <c r="C156" s="393">
        <f t="shared" si="232"/>
        <v>0</v>
      </c>
      <c r="D156" s="393">
        <f t="shared" si="232"/>
        <v>0</v>
      </c>
      <c r="E156" s="393">
        <f t="shared" si="232"/>
        <v>0</v>
      </c>
      <c r="F156" s="393">
        <f t="shared" si="232"/>
        <v>0</v>
      </c>
      <c r="G156" s="393">
        <f t="shared" si="232"/>
        <v>0</v>
      </c>
      <c r="H156" s="393">
        <f t="shared" si="232"/>
        <v>0</v>
      </c>
      <c r="I156" s="393">
        <f t="shared" si="232"/>
        <v>0</v>
      </c>
      <c r="J156" s="393">
        <f t="shared" si="232"/>
        <v>0</v>
      </c>
      <c r="K156" s="393">
        <f t="shared" si="232"/>
        <v>0</v>
      </c>
      <c r="L156" s="393">
        <f t="shared" si="232"/>
        <v>0</v>
      </c>
      <c r="M156" s="393">
        <f t="shared" ref="M156" si="233">+M155/$O154</f>
        <v>0</v>
      </c>
      <c r="N156" s="401"/>
      <c r="O156" s="89"/>
      <c r="P156" s="89"/>
      <c r="Q156" s="154"/>
      <c r="S156" s="53" t="str">
        <f t="shared" ref="S156:S159" si="234">+S75</f>
        <v>Spring 2025</v>
      </c>
      <c r="T156" s="53" t="str">
        <f t="shared" ref="T156:AC156" si="235">+T75</f>
        <v>Spring 2026</v>
      </c>
      <c r="U156" s="53" t="str">
        <f t="shared" si="235"/>
        <v>Spring 2027</v>
      </c>
      <c r="V156" s="53" t="str">
        <f t="shared" si="235"/>
        <v>Spring 2028</v>
      </c>
      <c r="W156" s="53" t="str">
        <f t="shared" si="235"/>
        <v>Spring 2029</v>
      </c>
      <c r="X156" s="53" t="str">
        <f t="shared" si="235"/>
        <v>Spring 2030</v>
      </c>
      <c r="Y156" s="53" t="str">
        <f t="shared" si="235"/>
        <v>Spring 2031</v>
      </c>
      <c r="Z156" s="53" t="str">
        <f t="shared" si="235"/>
        <v>Spring 2032</v>
      </c>
      <c r="AA156" s="53" t="str">
        <f t="shared" si="235"/>
        <v>Spring 2033</v>
      </c>
      <c r="AB156" s="53" t="str">
        <f t="shared" si="235"/>
        <v>Spring 2034</v>
      </c>
      <c r="AC156" s="53" t="str">
        <f t="shared" si="235"/>
        <v>Spring 2035</v>
      </c>
      <c r="AD156" s="53" t="str">
        <f t="shared" ref="AD156" si="236">+AD75</f>
        <v>Spring 2036</v>
      </c>
    </row>
    <row r="157" spans="1:33" x14ac:dyDescent="0.25">
      <c r="A157" s="147" t="s">
        <v>21</v>
      </c>
      <c r="B157" s="110">
        <f t="shared" ref="B157:K157" si="237">ROUND((B154*B156*$Q$41)+(C154*B156*$Q$42),0)</f>
        <v>0</v>
      </c>
      <c r="C157" s="110">
        <f t="shared" si="237"/>
        <v>0</v>
      </c>
      <c r="D157" s="110">
        <f t="shared" si="237"/>
        <v>0</v>
      </c>
      <c r="E157" s="110">
        <f t="shared" si="237"/>
        <v>0</v>
      </c>
      <c r="F157" s="110">
        <f t="shared" si="237"/>
        <v>0</v>
      </c>
      <c r="G157" s="110">
        <f t="shared" si="237"/>
        <v>0</v>
      </c>
      <c r="H157" s="110">
        <f t="shared" si="237"/>
        <v>0</v>
      </c>
      <c r="I157" s="110">
        <f t="shared" si="237"/>
        <v>0</v>
      </c>
      <c r="J157" s="110">
        <f t="shared" si="237"/>
        <v>0</v>
      </c>
      <c r="K157" s="110">
        <f t="shared" si="237"/>
        <v>0</v>
      </c>
      <c r="L157" s="110">
        <f>ROUND((L154*L156*$Q$41)+(N154*L156*$Q$42),0)</f>
        <v>0</v>
      </c>
      <c r="M157" s="110">
        <f>ROUND((M154*M156*$Q$41)+(O154*M156*$Q$42),0)</f>
        <v>0</v>
      </c>
      <c r="N157" s="402"/>
      <c r="O157" s="89"/>
      <c r="P157" s="89"/>
      <c r="Q157" s="154"/>
      <c r="S157" s="53" t="str">
        <f t="shared" si="234"/>
        <v>Summer 2025</v>
      </c>
      <c r="T157" s="53" t="str">
        <f t="shared" ref="T157:AC157" si="238">+T76</f>
        <v>Summer 2026</v>
      </c>
      <c r="U157" s="53" t="str">
        <f t="shared" si="238"/>
        <v>Summer 2027</v>
      </c>
      <c r="V157" s="53" t="str">
        <f t="shared" si="238"/>
        <v>Summer 2028</v>
      </c>
      <c r="W157" s="53" t="str">
        <f t="shared" si="238"/>
        <v>Summer 2029</v>
      </c>
      <c r="X157" s="53" t="str">
        <f t="shared" si="238"/>
        <v>Summer 2030</v>
      </c>
      <c r="Y157" s="53" t="str">
        <f t="shared" si="238"/>
        <v>Summer 2031</v>
      </c>
      <c r="Z157" s="53" t="str">
        <f t="shared" si="238"/>
        <v>Summer 2032</v>
      </c>
      <c r="AA157" s="53" t="str">
        <f t="shared" si="238"/>
        <v>Summer 2033</v>
      </c>
      <c r="AB157" s="53" t="str">
        <f t="shared" si="238"/>
        <v>Summer 2034</v>
      </c>
      <c r="AC157" s="53" t="str">
        <f t="shared" si="238"/>
        <v>Summer 2035</v>
      </c>
      <c r="AD157" s="53" t="str">
        <f t="shared" ref="AD157" si="239">+AD76</f>
        <v>Summer 2036</v>
      </c>
    </row>
    <row r="158" spans="1:33" x14ac:dyDescent="0.25">
      <c r="A158" s="147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6"/>
      <c r="P158" s="26"/>
      <c r="Q158" s="155"/>
      <c r="S158" s="53" t="str">
        <f t="shared" si="234"/>
        <v>Fall 2025</v>
      </c>
      <c r="T158" s="53" t="str">
        <f t="shared" ref="T158:AC158" si="240">+T77</f>
        <v>Fall 2026</v>
      </c>
      <c r="U158" s="53" t="str">
        <f t="shared" si="240"/>
        <v>Fall 2027</v>
      </c>
      <c r="V158" s="53" t="str">
        <f t="shared" si="240"/>
        <v>Fall 2028</v>
      </c>
      <c r="W158" s="53" t="str">
        <f t="shared" si="240"/>
        <v>Fall 2029</v>
      </c>
      <c r="X158" s="53" t="str">
        <f t="shared" si="240"/>
        <v>Fall 2030</v>
      </c>
      <c r="Y158" s="53" t="str">
        <f t="shared" si="240"/>
        <v>Fall 2031</v>
      </c>
      <c r="Z158" s="53" t="str">
        <f t="shared" si="240"/>
        <v>Fall 2032</v>
      </c>
      <c r="AA158" s="53" t="str">
        <f t="shared" si="240"/>
        <v>Fall 2033</v>
      </c>
      <c r="AB158" s="53" t="str">
        <f t="shared" si="240"/>
        <v>Fall 2034</v>
      </c>
      <c r="AC158" s="53" t="str">
        <f t="shared" si="240"/>
        <v>Fall 2035</v>
      </c>
      <c r="AD158" s="53" t="str">
        <f t="shared" ref="AD158" si="241">+AD77</f>
        <v>Fall 2036</v>
      </c>
    </row>
    <row r="159" spans="1:33" x14ac:dyDescent="0.25">
      <c r="A159" s="147"/>
      <c r="B159" s="104" t="str">
        <f t="shared" ref="B159:L159" si="242">IF(AND(B160=$AE$5,$O161=9),$AE$3,IF(AND(B160=$AF$5,$O161=9),$AF$3,IF(AND(B160=$AG$5,$O161=9),$AG$3,IF(AND(B160=$AH$5,$O161=9),$AH$3,IF(AND(B160=$AI$5,$O161=9),$AI$3,IF(AND(B160=$AJ$5,$O161=9),$AJ$3,IF(AND(B160=$AK$5,$O161=9),$AK$3,IF(AND(B160=$AL$5,$O161=9),$AL$3,IF(AND(B160=$AM$5,$O161=9),$AM$3,IF(AND(B160=$AN$5,$O161=9),$AN$3,IF(AND(B160=$AO$5,$O161=9),$AO$3,IF(AND(B160=$AP$5,$O161=9),$AJ$3,IF(AND(B160=$AE$4,$O161=12),$AE$3,IF(AND(B160=$AF$4,$O161=12),$AF$3,IF(AND(B160=$AG$4,$O161=12),$AG$3,IF(AND(B160=$AH$4,$O161=12),$AH$3,IF(AND(B160=$AI$4,$O161=12),$AI$3,IF(AND(B160=$AJ$4,$O161=12),$AJ$3,IF(AND(B160=$AK$4,$O161=12),$AK$3,IF(AND(B160=$AL$4,$O161=12),$AL$3,IF(AND(B160=$AM$4,$O161=12),$AM$3,IF(AND(B160=$AN$4,$O161=12),$AN$3,IF(AND(B160=$AO$4,$O161=12),$AO$3,IF(AND(B160=$AP$4,$O161=12),$AJ$3," "))))))))))))))))))))))))</f>
        <v>Year 1</v>
      </c>
      <c r="C159" s="104" t="str">
        <f t="shared" si="242"/>
        <v>Year 2</v>
      </c>
      <c r="D159" s="104" t="str">
        <f t="shared" si="242"/>
        <v>Year 3</v>
      </c>
      <c r="E159" s="104" t="str">
        <f t="shared" si="242"/>
        <v>Year 4</v>
      </c>
      <c r="F159" s="104" t="str">
        <f t="shared" si="242"/>
        <v>Year 5</v>
      </c>
      <c r="G159" s="104" t="str">
        <f t="shared" si="242"/>
        <v>Year 6</v>
      </c>
      <c r="H159" s="104" t="str">
        <f t="shared" si="242"/>
        <v>Year 7</v>
      </c>
      <c r="I159" s="104" t="str">
        <f t="shared" si="242"/>
        <v>Year 8</v>
      </c>
      <c r="J159" s="104" t="str">
        <f t="shared" si="242"/>
        <v>Year 9</v>
      </c>
      <c r="K159" s="104" t="str">
        <f t="shared" si="242"/>
        <v>Year 10</v>
      </c>
      <c r="L159" s="104" t="str">
        <f t="shared" si="242"/>
        <v>Year 11</v>
      </c>
      <c r="M159" s="104" t="str">
        <f t="shared" ref="M159" si="243">IF(AND(M160=$AE$5,$O161=9),$AE$3,IF(AND(M160=$AF$5,$O161=9),$AF$3,IF(AND(M160=$AG$5,$O161=9),$AG$3,IF(AND(M160=$AH$5,$O161=9),$AH$3,IF(AND(M160=$AI$5,$O161=9),$AI$3,IF(AND(M160=$AJ$5,$O161=9),$AJ$3,IF(AND(M160=$AK$5,$O161=9),$AK$3,IF(AND(M160=$AL$5,$O161=9),$AL$3,IF(AND(M160=$AM$5,$O161=9),$AM$3,IF(AND(M160=$AN$5,$O161=9),$AN$3,IF(AND(M160=$AO$5,$O161=9),$AO$3,IF(AND(M160=$AP$5,$O161=9),$AJ$3,IF(AND(M160=$AE$4,$O161=12),$AE$3,IF(AND(M160=$AF$4,$O161=12),$AF$3,IF(AND(M160=$AG$4,$O161=12),$AG$3,IF(AND(M160=$AH$4,$O161=12),$AH$3,IF(AND(M160=$AI$4,$O161=12),$AI$3,IF(AND(M160=$AJ$4,$O161=12),$AJ$3,IF(AND(M160=$AK$4,$O161=12),$AK$3,IF(AND(M160=$AL$4,$O161=12),$AL$3,IF(AND(M160=$AM$4,$O161=12),$AM$3,IF(AND(M160=$AN$4,$O161=12),$AN$3,IF(AND(M160=$AO$4,$O161=12),$AO$3,IF(AND(M160=$AP$4,$O161=12),$AJ$3," "))))))))))))))))))))))))</f>
        <v>Year 6</v>
      </c>
      <c r="N159" s="104"/>
      <c r="O159" s="26"/>
      <c r="P159" s="26"/>
      <c r="Q159" s="155"/>
      <c r="S159" s="34" t="str">
        <f t="shared" si="234"/>
        <v>FY2025&amp;26</v>
      </c>
      <c r="T159" s="34" t="str">
        <f t="shared" ref="T159:AC159" si="244">+T78</f>
        <v>FY2026&amp;27</v>
      </c>
      <c r="U159" s="34" t="str">
        <f t="shared" si="244"/>
        <v>FY2027&amp;28</v>
      </c>
      <c r="V159" s="34" t="str">
        <f t="shared" si="244"/>
        <v>FY2028&amp;29</v>
      </c>
      <c r="W159" s="34" t="str">
        <f t="shared" si="244"/>
        <v>FY2029&amp;30</v>
      </c>
      <c r="X159" s="34" t="str">
        <f t="shared" si="244"/>
        <v>FY2030&amp;31</v>
      </c>
      <c r="Y159" s="34" t="str">
        <f t="shared" si="244"/>
        <v>FY2031&amp;32</v>
      </c>
      <c r="Z159" s="34" t="str">
        <f t="shared" si="244"/>
        <v>FY2032&amp;33</v>
      </c>
      <c r="AA159" s="34" t="str">
        <f t="shared" si="244"/>
        <v>FY2033&amp;34</v>
      </c>
      <c r="AB159" s="34" t="str">
        <f t="shared" si="244"/>
        <v>FY2034&amp;35</v>
      </c>
      <c r="AC159" s="34" t="str">
        <f t="shared" si="244"/>
        <v>FY2035&amp;36</v>
      </c>
      <c r="AD159" s="34" t="str">
        <f t="shared" ref="AD159" si="245">+AD78</f>
        <v>FY2036&amp;</v>
      </c>
    </row>
    <row r="160" spans="1:33" ht="15.75" thickBot="1" x14ac:dyDescent="0.3">
      <c r="A160" s="146" t="s">
        <v>74</v>
      </c>
      <c r="B160" s="55" t="str">
        <f t="shared" ref="B160:I160" si="246">+N$2</f>
        <v>FY2025</v>
      </c>
      <c r="C160" s="55" t="str">
        <f t="shared" si="246"/>
        <v>FY2026</v>
      </c>
      <c r="D160" s="55" t="str">
        <f t="shared" si="246"/>
        <v>FY2027</v>
      </c>
      <c r="E160" s="55" t="str">
        <f t="shared" si="246"/>
        <v>FY2028</v>
      </c>
      <c r="F160" s="55" t="str">
        <f t="shared" si="246"/>
        <v>FY2029</v>
      </c>
      <c r="G160" s="55" t="str">
        <f t="shared" si="246"/>
        <v>FY2030</v>
      </c>
      <c r="H160" s="55" t="str">
        <f t="shared" si="246"/>
        <v>FY2031</v>
      </c>
      <c r="I160" s="55" t="str">
        <f t="shared" si="246"/>
        <v>FY2032</v>
      </c>
      <c r="J160" s="55" t="str">
        <f t="shared" ref="J160" si="247">+V$2</f>
        <v>FY2033</v>
      </c>
      <c r="K160" s="55" t="str">
        <f t="shared" ref="K160:M160" si="248">+W$2</f>
        <v>FY2034</v>
      </c>
      <c r="L160" s="55" t="str">
        <f t="shared" si="248"/>
        <v>FY2035</v>
      </c>
      <c r="M160" s="55" t="str">
        <f t="shared" si="248"/>
        <v>FY2036</v>
      </c>
      <c r="N160" s="55"/>
      <c r="O160" s="32" t="s">
        <v>20</v>
      </c>
      <c r="P160" s="89"/>
      <c r="Q160" s="154"/>
      <c r="R160" s="35" t="s">
        <v>71</v>
      </c>
      <c r="S160" s="50" t="s">
        <v>1</v>
      </c>
      <c r="T160" s="51" t="s">
        <v>2</v>
      </c>
      <c r="U160" s="51" t="s">
        <v>3</v>
      </c>
      <c r="V160" s="51" t="s">
        <v>39</v>
      </c>
      <c r="W160" s="51" t="s">
        <v>45</v>
      </c>
      <c r="X160" s="51" t="s">
        <v>183</v>
      </c>
      <c r="Y160" s="51" t="s">
        <v>184</v>
      </c>
      <c r="Z160" s="51" t="s">
        <v>185</v>
      </c>
      <c r="AA160" s="51" t="s">
        <v>186</v>
      </c>
      <c r="AB160" s="51" t="s">
        <v>187</v>
      </c>
      <c r="AC160" s="51" t="s">
        <v>188</v>
      </c>
      <c r="AD160" s="51" t="s">
        <v>189</v>
      </c>
    </row>
    <row r="161" spans="1:30" x14ac:dyDescent="0.25">
      <c r="A161" s="147" t="str">
        <f>CONCATENATE("Base Salary: ",O161," month term")</f>
        <v>Base Salary: 12 month term</v>
      </c>
      <c r="B161" s="313">
        <v>47476</v>
      </c>
      <c r="C161" s="445">
        <f t="shared" ref="C161:M161" si="249">ROUND(+B161*(1+(HLOOKUP(C160,FringeAndIDCRates,11,FALSE))),0)</f>
        <v>49138</v>
      </c>
      <c r="D161" s="445">
        <f t="shared" si="249"/>
        <v>50760</v>
      </c>
      <c r="E161" s="445">
        <f t="shared" si="249"/>
        <v>52283</v>
      </c>
      <c r="F161" s="445">
        <f t="shared" si="249"/>
        <v>53851</v>
      </c>
      <c r="G161" s="445">
        <f t="shared" si="249"/>
        <v>55467</v>
      </c>
      <c r="H161" s="445">
        <f t="shared" si="249"/>
        <v>57131</v>
      </c>
      <c r="I161" s="445">
        <f t="shared" si="249"/>
        <v>58845</v>
      </c>
      <c r="J161" s="445">
        <f t="shared" si="249"/>
        <v>60610</v>
      </c>
      <c r="K161" s="445">
        <f t="shared" si="249"/>
        <v>62428</v>
      </c>
      <c r="L161" s="445">
        <f t="shared" si="249"/>
        <v>64301</v>
      </c>
      <c r="M161" s="445">
        <f t="shared" si="249"/>
        <v>66230</v>
      </c>
      <c r="N161" s="109"/>
      <c r="O161" s="317">
        <v>12</v>
      </c>
      <c r="P161" s="311"/>
      <c r="Q161" s="156"/>
      <c r="R161" s="61" t="str">
        <f>CONCATENATE("Number of Students ",IF(AND($AD$2&gt;=7,$AD$2&lt;=9),CONCATENATE("(Fall)"),IF(AND($AD$2&gt;=7,$AD$2&lt;=10),CONCATENATE("(Spring)"),IF(OR($AD$2&gt;=10,$AD$2&lt;=2),CONCATENATE("(Spring)"),IF(AND($AD$2&gt;=7,$AD$2&lt;=10),CONCATENATE("(Summer)"),IF(OR($AD$2&gt;=10,$AD$2&lt;=2),CONCATENATE("(Summer)"),IF(AND($AD$2&gt;=3,$AD$2&lt;=6),CONCATENATE("(Summer)"),"N/A")))))))</f>
        <v>Number of Students (Spring)</v>
      </c>
      <c r="S161" s="60">
        <f t="shared" ref="S161:X163" si="250">+B167</f>
        <v>0</v>
      </c>
      <c r="T161" s="60">
        <f t="shared" si="250"/>
        <v>0</v>
      </c>
      <c r="U161" s="60">
        <f t="shared" si="250"/>
        <v>0</v>
      </c>
      <c r="V161" s="60">
        <f t="shared" si="250"/>
        <v>0</v>
      </c>
      <c r="W161" s="60">
        <f t="shared" si="250"/>
        <v>0</v>
      </c>
      <c r="X161" s="60">
        <f t="shared" si="250"/>
        <v>0</v>
      </c>
      <c r="Y161" s="60">
        <f t="shared" ref="Y161:Y163" si="251">+H167</f>
        <v>0</v>
      </c>
      <c r="Z161" s="60">
        <f t="shared" ref="Z161:Z163" si="252">+I167</f>
        <v>0</v>
      </c>
      <c r="AA161" s="60">
        <f t="shared" ref="AA161:AA163" si="253">+J167</f>
        <v>0</v>
      </c>
      <c r="AB161" s="60">
        <f t="shared" ref="AB161:AB163" si="254">+K167</f>
        <v>0</v>
      </c>
      <c r="AC161" s="60">
        <f t="shared" ref="AC161:AD163" si="255">+L167</f>
        <v>0</v>
      </c>
      <c r="AD161" s="60">
        <f t="shared" si="255"/>
        <v>0</v>
      </c>
    </row>
    <row r="162" spans="1:30" x14ac:dyDescent="0.25">
      <c r="A162" s="147" t="s">
        <v>44</v>
      </c>
      <c r="B162" s="312">
        <v>0</v>
      </c>
      <c r="C162" s="312">
        <v>0</v>
      </c>
      <c r="D162" s="312">
        <v>0</v>
      </c>
      <c r="E162" s="312">
        <v>0</v>
      </c>
      <c r="F162" s="312">
        <v>0</v>
      </c>
      <c r="G162" s="312">
        <v>0</v>
      </c>
      <c r="H162" s="312">
        <v>0</v>
      </c>
      <c r="I162" s="312">
        <v>0</v>
      </c>
      <c r="J162" s="312">
        <v>0</v>
      </c>
      <c r="K162" s="312">
        <v>0</v>
      </c>
      <c r="L162" s="312">
        <v>0</v>
      </c>
      <c r="M162" s="312">
        <v>0</v>
      </c>
      <c r="N162" s="400"/>
      <c r="O162" s="25"/>
      <c r="P162" s="25"/>
      <c r="Q162" s="147"/>
      <c r="R162" s="115" t="str">
        <f>CONCATENATE("Number of Students ",IF(AND($AD$2&gt;=7,$AD$2&lt;=9),CONCATENATE("(Spring)"),IF(AND($AD$2&gt;=7,$AD$2&lt;=10),CONCATENATE("(Summer)"),IF(OR($AD$2&gt;=10,$AD$2&lt;=2),CONCATENATE("(Summer)"),IF(AND($AD$2&gt;=7,$AD$2&lt;=10),CONCATENATE("(Fall)"),IF(OR($AD$2&gt;=10,$AD$2&lt;=2),CONCATENATE("(Fall) "),IF(AND($AD$2&gt;=3,$AD$2&lt;=6),CONCATENATE("(Fall)"),"N/A")))))))</f>
        <v>Number of Students (Summer)</v>
      </c>
      <c r="S162" s="60">
        <f t="shared" si="250"/>
        <v>0</v>
      </c>
      <c r="T162" s="60">
        <f t="shared" si="250"/>
        <v>0</v>
      </c>
      <c r="U162" s="60">
        <f t="shared" si="250"/>
        <v>0</v>
      </c>
      <c r="V162" s="60">
        <f t="shared" si="250"/>
        <v>0</v>
      </c>
      <c r="W162" s="60">
        <f t="shared" si="250"/>
        <v>0</v>
      </c>
      <c r="X162" s="60">
        <f t="shared" si="250"/>
        <v>0</v>
      </c>
      <c r="Y162" s="60">
        <f t="shared" si="251"/>
        <v>0</v>
      </c>
      <c r="Z162" s="60">
        <f t="shared" si="252"/>
        <v>0</v>
      </c>
      <c r="AA162" s="60">
        <f t="shared" si="253"/>
        <v>0</v>
      </c>
      <c r="AB162" s="60">
        <f t="shared" si="254"/>
        <v>0</v>
      </c>
      <c r="AC162" s="60">
        <f t="shared" si="255"/>
        <v>0</v>
      </c>
      <c r="AD162" s="60">
        <f t="shared" si="255"/>
        <v>0</v>
      </c>
    </row>
    <row r="163" spans="1:30" x14ac:dyDescent="0.25">
      <c r="A163" s="147" t="str">
        <f>CONCATENATE("FTE for ",O161," Months")</f>
        <v>FTE for 12 Months</v>
      </c>
      <c r="B163" s="393">
        <f t="shared" ref="B163:L163" si="256">+B162/$O161</f>
        <v>0</v>
      </c>
      <c r="C163" s="393">
        <f t="shared" si="256"/>
        <v>0</v>
      </c>
      <c r="D163" s="393">
        <f t="shared" si="256"/>
        <v>0</v>
      </c>
      <c r="E163" s="393">
        <f t="shared" si="256"/>
        <v>0</v>
      </c>
      <c r="F163" s="393">
        <f t="shared" si="256"/>
        <v>0</v>
      </c>
      <c r="G163" s="393">
        <f t="shared" si="256"/>
        <v>0</v>
      </c>
      <c r="H163" s="393">
        <f t="shared" si="256"/>
        <v>0</v>
      </c>
      <c r="I163" s="393">
        <f t="shared" si="256"/>
        <v>0</v>
      </c>
      <c r="J163" s="393">
        <f t="shared" si="256"/>
        <v>0</v>
      </c>
      <c r="K163" s="393">
        <f t="shared" si="256"/>
        <v>0</v>
      </c>
      <c r="L163" s="393">
        <f t="shared" si="256"/>
        <v>0</v>
      </c>
      <c r="M163" s="393">
        <f t="shared" ref="M163" si="257">+M162/$O161</f>
        <v>0</v>
      </c>
      <c r="N163" s="401"/>
      <c r="O163" s="89"/>
      <c r="P163" s="89"/>
      <c r="Q163" s="154"/>
      <c r="R163" s="115" t="str">
        <f>CONCATENATE("Number of Students ",IF(AND($AD$2&gt;=7,$AD$2&lt;=9),CONCATENATE("(Summer)"),IF(AND($AD$2&gt;=7,$AD$2&lt;=10),CONCATENATE("(Fall)"),IF(OR($AD$2&gt;=10,$AD$2&lt;=2),CONCATENATE("(Fall)"),IF(AND($AD$2&gt;=7,$AD$2&lt;=10),CONCATENATE("(Spring)"),IF(OR($AD$2&gt;=10,$AD$2&lt;=2),CONCATENATE("(Spring)"),IF(AND($AD$2&gt;=3,$AD$2&lt;=6),CONCATENATE("(Spring)"),"N/A")))))))</f>
        <v>Number of Students (Fall)</v>
      </c>
      <c r="S163" s="60">
        <f t="shared" si="250"/>
        <v>0</v>
      </c>
      <c r="T163" s="60">
        <f t="shared" si="250"/>
        <v>0</v>
      </c>
      <c r="U163" s="60">
        <f t="shared" si="250"/>
        <v>0</v>
      </c>
      <c r="V163" s="60">
        <f t="shared" si="250"/>
        <v>0</v>
      </c>
      <c r="W163" s="60">
        <f t="shared" si="250"/>
        <v>0</v>
      </c>
      <c r="X163" s="60">
        <f t="shared" si="250"/>
        <v>0</v>
      </c>
      <c r="Y163" s="60">
        <f t="shared" si="251"/>
        <v>0</v>
      </c>
      <c r="Z163" s="60">
        <f t="shared" si="252"/>
        <v>0</v>
      </c>
      <c r="AA163" s="60">
        <f t="shared" si="253"/>
        <v>0</v>
      </c>
      <c r="AB163" s="60">
        <f t="shared" si="254"/>
        <v>0</v>
      </c>
      <c r="AC163" s="60">
        <f t="shared" si="255"/>
        <v>0</v>
      </c>
      <c r="AD163" s="60">
        <f t="shared" si="255"/>
        <v>0</v>
      </c>
    </row>
    <row r="164" spans="1:30" x14ac:dyDescent="0.25">
      <c r="A164" s="147" t="s">
        <v>21</v>
      </c>
      <c r="B164" s="110">
        <f t="shared" ref="B164:K164" si="258">ROUND((B161*B163*$Q$41)+(C161*B163*$Q$42),0)</f>
        <v>0</v>
      </c>
      <c r="C164" s="110">
        <f t="shared" si="258"/>
        <v>0</v>
      </c>
      <c r="D164" s="110">
        <f t="shared" si="258"/>
        <v>0</v>
      </c>
      <c r="E164" s="110">
        <f t="shared" si="258"/>
        <v>0</v>
      </c>
      <c r="F164" s="110">
        <f t="shared" si="258"/>
        <v>0</v>
      </c>
      <c r="G164" s="110">
        <f t="shared" si="258"/>
        <v>0</v>
      </c>
      <c r="H164" s="110">
        <f t="shared" si="258"/>
        <v>0</v>
      </c>
      <c r="I164" s="110">
        <f t="shared" si="258"/>
        <v>0</v>
      </c>
      <c r="J164" s="110">
        <f t="shared" si="258"/>
        <v>0</v>
      </c>
      <c r="K164" s="110">
        <f t="shared" si="258"/>
        <v>0</v>
      </c>
      <c r="L164" s="110">
        <f>ROUND((L161*L163*$Q$41)+(N161*L163*$Q$42),0)</f>
        <v>0</v>
      </c>
      <c r="M164" s="110">
        <f>ROUND((M161*M163*$Q$41)+(O161*M163*$Q$42),0)</f>
        <v>0</v>
      </c>
      <c r="N164" s="402"/>
      <c r="O164" s="89"/>
      <c r="P164" s="89"/>
      <c r="Q164" s="154"/>
      <c r="R164" s="25"/>
      <c r="S164" s="33"/>
      <c r="T164" s="33"/>
      <c r="U164" s="33"/>
      <c r="V164" s="33"/>
      <c r="W164" s="33"/>
      <c r="X164" s="33"/>
      <c r="Y164" s="23"/>
    </row>
    <row r="165" spans="1:30" x14ac:dyDescent="0.25">
      <c r="A165" s="147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89"/>
      <c r="P165" s="89"/>
      <c r="Q165" s="154"/>
      <c r="R165" s="25"/>
      <c r="S165" s="33"/>
      <c r="T165" s="33"/>
      <c r="U165" s="33"/>
      <c r="V165" s="33"/>
      <c r="W165" s="33"/>
      <c r="X165" s="33"/>
      <c r="Y165" s="23"/>
    </row>
    <row r="166" spans="1:30" ht="15.75" thickBot="1" x14ac:dyDescent="0.3">
      <c r="A166" s="146" t="s">
        <v>70</v>
      </c>
      <c r="B166" s="24" t="s">
        <v>1</v>
      </c>
      <c r="C166" s="24" t="s">
        <v>2</v>
      </c>
      <c r="D166" s="24" t="s">
        <v>3</v>
      </c>
      <c r="E166" s="24" t="s">
        <v>39</v>
      </c>
      <c r="F166" s="24" t="s">
        <v>45</v>
      </c>
      <c r="G166" s="24" t="s">
        <v>183</v>
      </c>
      <c r="H166" s="24" t="s">
        <v>184</v>
      </c>
      <c r="I166" s="24" t="s">
        <v>185</v>
      </c>
      <c r="J166" s="24" t="s">
        <v>186</v>
      </c>
      <c r="K166" s="24" t="s">
        <v>187</v>
      </c>
      <c r="L166" s="23"/>
      <c r="M166" s="23"/>
      <c r="N166" s="23"/>
      <c r="O166" s="89"/>
      <c r="P166" s="89"/>
      <c r="Q166" s="154"/>
      <c r="R166" s="422" t="s">
        <v>105</v>
      </c>
      <c r="S166" s="50" t="s">
        <v>1</v>
      </c>
      <c r="T166" s="51" t="s">
        <v>2</v>
      </c>
      <c r="U166" s="51" t="s">
        <v>3</v>
      </c>
      <c r="V166" s="51" t="s">
        <v>39</v>
      </c>
      <c r="W166" s="51" t="s">
        <v>45</v>
      </c>
      <c r="X166" s="51" t="s">
        <v>183</v>
      </c>
      <c r="Y166" s="51" t="s">
        <v>184</v>
      </c>
      <c r="Z166" s="51" t="s">
        <v>185</v>
      </c>
      <c r="AA166" s="51" t="s">
        <v>186</v>
      </c>
      <c r="AB166" s="51" t="s">
        <v>187</v>
      </c>
    </row>
    <row r="167" spans="1:30" x14ac:dyDescent="0.25">
      <c r="A167" s="147" t="str">
        <f>+R161</f>
        <v>Number of Students (Spring)</v>
      </c>
      <c r="B167" s="314">
        <v>0</v>
      </c>
      <c r="C167" s="314">
        <v>0</v>
      </c>
      <c r="D167" s="314">
        <v>0</v>
      </c>
      <c r="E167" s="314">
        <v>0</v>
      </c>
      <c r="F167" s="314">
        <v>0</v>
      </c>
      <c r="G167" s="314">
        <v>0</v>
      </c>
      <c r="H167" s="314">
        <v>0</v>
      </c>
      <c r="I167" s="314">
        <v>0</v>
      </c>
      <c r="J167" s="314">
        <v>0</v>
      </c>
      <c r="K167" s="314">
        <v>0</v>
      </c>
      <c r="L167" s="23"/>
      <c r="M167" s="23"/>
      <c r="N167" s="23"/>
      <c r="O167" s="89"/>
      <c r="P167" s="89"/>
      <c r="Q167" s="154"/>
      <c r="R167" s="36" t="s">
        <v>22</v>
      </c>
      <c r="S167" s="37">
        <f t="shared" ref="S167:AB167" si="259">SUM(S177:S179)</f>
        <v>0</v>
      </c>
      <c r="T167" s="37">
        <f t="shared" si="259"/>
        <v>0</v>
      </c>
      <c r="U167" s="37">
        <f t="shared" si="259"/>
        <v>0</v>
      </c>
      <c r="V167" s="37">
        <f t="shared" si="259"/>
        <v>0</v>
      </c>
      <c r="W167" s="37">
        <f t="shared" si="259"/>
        <v>0</v>
      </c>
      <c r="X167" s="37">
        <f t="shared" si="259"/>
        <v>0</v>
      </c>
      <c r="Y167" s="37">
        <f t="shared" si="259"/>
        <v>0</v>
      </c>
      <c r="Z167" s="37">
        <f t="shared" si="259"/>
        <v>0</v>
      </c>
      <c r="AA167" s="37">
        <f t="shared" si="259"/>
        <v>0</v>
      </c>
      <c r="AB167" s="37">
        <f t="shared" si="259"/>
        <v>0</v>
      </c>
    </row>
    <row r="168" spans="1:30" x14ac:dyDescent="0.25">
      <c r="A168" s="147" t="str">
        <f>+R162</f>
        <v>Number of Students (Summer)</v>
      </c>
      <c r="B168" s="315">
        <f t="shared" ref="B168:G168" si="260">+B167</f>
        <v>0</v>
      </c>
      <c r="C168" s="315">
        <f t="shared" si="260"/>
        <v>0</v>
      </c>
      <c r="D168" s="315">
        <f t="shared" si="260"/>
        <v>0</v>
      </c>
      <c r="E168" s="315">
        <f t="shared" si="260"/>
        <v>0</v>
      </c>
      <c r="F168" s="315">
        <f t="shared" si="260"/>
        <v>0</v>
      </c>
      <c r="G168" s="315">
        <f t="shared" si="260"/>
        <v>0</v>
      </c>
      <c r="H168" s="315">
        <f t="shared" ref="H168" si="261">+H167</f>
        <v>0</v>
      </c>
      <c r="I168" s="315">
        <f t="shared" ref="I168" si="262">+I167</f>
        <v>0</v>
      </c>
      <c r="J168" s="315">
        <f t="shared" ref="J168" si="263">+J167</f>
        <v>0</v>
      </c>
      <c r="K168" s="315">
        <f t="shared" ref="K168" si="264">+K167</f>
        <v>0</v>
      </c>
      <c r="L168" s="23"/>
      <c r="M168" s="23"/>
      <c r="N168" s="23"/>
      <c r="O168" s="89"/>
      <c r="P168" s="89"/>
      <c r="Q168" s="154"/>
      <c r="R168" s="36" t="s">
        <v>8</v>
      </c>
      <c r="S168" s="37">
        <f t="shared" ref="S168:AB168" si="265">SUM(S180:S182)</f>
        <v>0</v>
      </c>
      <c r="T168" s="37">
        <f t="shared" si="265"/>
        <v>0</v>
      </c>
      <c r="U168" s="37">
        <f t="shared" si="265"/>
        <v>0</v>
      </c>
      <c r="V168" s="37">
        <f t="shared" si="265"/>
        <v>0</v>
      </c>
      <c r="W168" s="37">
        <f t="shared" si="265"/>
        <v>0</v>
      </c>
      <c r="X168" s="37">
        <f t="shared" si="265"/>
        <v>0</v>
      </c>
      <c r="Y168" s="37">
        <f t="shared" si="265"/>
        <v>0</v>
      </c>
      <c r="Z168" s="37">
        <f t="shared" si="265"/>
        <v>0</v>
      </c>
      <c r="AA168" s="37">
        <f t="shared" si="265"/>
        <v>0</v>
      </c>
      <c r="AB168" s="37">
        <f t="shared" si="265"/>
        <v>0</v>
      </c>
    </row>
    <row r="169" spans="1:30" x14ac:dyDescent="0.25">
      <c r="A169" s="147" t="str">
        <f>+R163</f>
        <v>Number of Students (Fall)</v>
      </c>
      <c r="B169" s="315">
        <f t="shared" ref="B169:G169" si="266">+B167</f>
        <v>0</v>
      </c>
      <c r="C169" s="315">
        <f t="shared" si="266"/>
        <v>0</v>
      </c>
      <c r="D169" s="315">
        <f t="shared" si="266"/>
        <v>0</v>
      </c>
      <c r="E169" s="315">
        <f t="shared" si="266"/>
        <v>0</v>
      </c>
      <c r="F169" s="315">
        <f t="shared" si="266"/>
        <v>0</v>
      </c>
      <c r="G169" s="315">
        <f t="shared" si="266"/>
        <v>0</v>
      </c>
      <c r="H169" s="315">
        <f t="shared" ref="H169:K169" si="267">+H167</f>
        <v>0</v>
      </c>
      <c r="I169" s="315">
        <f t="shared" si="267"/>
        <v>0</v>
      </c>
      <c r="J169" s="315">
        <f t="shared" si="267"/>
        <v>0</v>
      </c>
      <c r="K169" s="315">
        <f t="shared" si="267"/>
        <v>0</v>
      </c>
      <c r="L169" s="23"/>
      <c r="M169" s="23"/>
      <c r="N169" s="23"/>
      <c r="O169" s="89"/>
      <c r="P169" s="89"/>
      <c r="Q169" s="154"/>
      <c r="R169" s="36" t="s">
        <v>9</v>
      </c>
      <c r="S169" s="37">
        <f t="shared" ref="S169:AB169" si="268">SUM(S183:S185)</f>
        <v>0</v>
      </c>
      <c r="T169" s="37">
        <f t="shared" si="268"/>
        <v>0</v>
      </c>
      <c r="U169" s="37">
        <f t="shared" si="268"/>
        <v>0</v>
      </c>
      <c r="V169" s="37">
        <f t="shared" si="268"/>
        <v>0</v>
      </c>
      <c r="W169" s="37">
        <f t="shared" si="268"/>
        <v>0</v>
      </c>
      <c r="X169" s="37">
        <f t="shared" si="268"/>
        <v>0</v>
      </c>
      <c r="Y169" s="37">
        <f t="shared" si="268"/>
        <v>0</v>
      </c>
      <c r="Z169" s="37">
        <f t="shared" si="268"/>
        <v>0</v>
      </c>
      <c r="AA169" s="37">
        <f t="shared" si="268"/>
        <v>0</v>
      </c>
      <c r="AB169" s="37">
        <f t="shared" si="268"/>
        <v>0</v>
      </c>
    </row>
    <row r="170" spans="1:30" ht="15.75" thickBot="1" x14ac:dyDescent="0.3">
      <c r="A170" s="147"/>
      <c r="B170" s="63"/>
      <c r="C170" s="63"/>
      <c r="D170" s="63"/>
      <c r="E170" s="63"/>
      <c r="F170" s="63"/>
      <c r="G170" s="63"/>
      <c r="H170" s="23"/>
      <c r="I170" s="23"/>
      <c r="J170" s="23"/>
      <c r="K170" s="23"/>
      <c r="L170" s="23"/>
      <c r="M170" s="23"/>
      <c r="N170" s="23"/>
      <c r="O170" s="89"/>
      <c r="P170" s="89"/>
      <c r="Q170" s="154"/>
      <c r="R170" s="38" t="s">
        <v>31</v>
      </c>
      <c r="S170" s="39">
        <f t="shared" ref="S170:V170" si="269">SUM(S167:S169)</f>
        <v>0</v>
      </c>
      <c r="T170" s="39">
        <f t="shared" si="269"/>
        <v>0</v>
      </c>
      <c r="U170" s="39">
        <f t="shared" si="269"/>
        <v>0</v>
      </c>
      <c r="V170" s="39">
        <f t="shared" si="269"/>
        <v>0</v>
      </c>
      <c r="W170" s="39">
        <f t="shared" ref="W170" si="270">SUM(W167:W169)</f>
        <v>0</v>
      </c>
      <c r="X170" s="39">
        <f t="shared" ref="X170" si="271">SUM(X167:X169)</f>
        <v>0</v>
      </c>
      <c r="Y170" s="39">
        <f t="shared" ref="Y170" si="272">SUM(Y167:Y169)</f>
        <v>0</v>
      </c>
      <c r="Z170" s="39">
        <f t="shared" ref="Z170" si="273">SUM(Z167:Z169)</f>
        <v>0</v>
      </c>
      <c r="AA170" s="39">
        <f t="shared" ref="AA170" si="274">SUM(AA167:AA169)</f>
        <v>0</v>
      </c>
      <c r="AB170" s="39">
        <f t="shared" ref="AB170" si="275">SUM(AB167:AB169)</f>
        <v>0</v>
      </c>
    </row>
    <row r="171" spans="1:30" x14ac:dyDescent="0.25">
      <c r="A171" s="146" t="s">
        <v>73</v>
      </c>
      <c r="B171" s="24" t="s">
        <v>1</v>
      </c>
      <c r="C171" s="24" t="s">
        <v>2</v>
      </c>
      <c r="D171" s="24" t="s">
        <v>3</v>
      </c>
      <c r="E171" s="24" t="s">
        <v>39</v>
      </c>
      <c r="F171" s="24" t="s">
        <v>45</v>
      </c>
      <c r="G171" s="24" t="s">
        <v>183</v>
      </c>
      <c r="H171" s="24" t="s">
        <v>184</v>
      </c>
      <c r="I171" s="24" t="s">
        <v>185</v>
      </c>
      <c r="J171" s="24" t="s">
        <v>186</v>
      </c>
      <c r="K171" s="24" t="s">
        <v>187</v>
      </c>
      <c r="Q171" s="149"/>
      <c r="S171" s="116"/>
      <c r="Y171" s="23"/>
    </row>
    <row r="172" spans="1:30" x14ac:dyDescent="0.25">
      <c r="A172" s="147" t="s">
        <v>69</v>
      </c>
      <c r="B172" s="312">
        <f>Minimum_Undergraduate_rate</f>
        <v>15</v>
      </c>
      <c r="C172" s="312">
        <f>+B172</f>
        <v>15</v>
      </c>
      <c r="D172" s="312">
        <f t="shared" ref="D172" si="276">+C172</f>
        <v>15</v>
      </c>
      <c r="E172" s="312">
        <f t="shared" ref="E172" si="277">+D172</f>
        <v>15</v>
      </c>
      <c r="F172" s="312">
        <f t="shared" ref="F172:G172" si="278">+E172</f>
        <v>15</v>
      </c>
      <c r="G172" s="312">
        <f t="shared" si="278"/>
        <v>15</v>
      </c>
      <c r="H172" s="312">
        <f t="shared" ref="H172" si="279">+G172</f>
        <v>15</v>
      </c>
      <c r="I172" s="312">
        <f t="shared" ref="I172" si="280">+H172</f>
        <v>15</v>
      </c>
      <c r="J172" s="312">
        <f t="shared" ref="J172" si="281">+I172</f>
        <v>15</v>
      </c>
      <c r="K172" s="312">
        <f t="shared" ref="K172" si="282">+J172</f>
        <v>15</v>
      </c>
      <c r="Q172" s="149"/>
      <c r="Y172" s="23"/>
    </row>
    <row r="173" spans="1:30" x14ac:dyDescent="0.25">
      <c r="A173" s="147" t="s">
        <v>60</v>
      </c>
      <c r="B173" s="316">
        <v>0</v>
      </c>
      <c r="C173" s="316">
        <v>0</v>
      </c>
      <c r="D173" s="316">
        <v>0</v>
      </c>
      <c r="E173" s="316">
        <v>0</v>
      </c>
      <c r="F173" s="316">
        <v>0</v>
      </c>
      <c r="G173" s="316">
        <v>0</v>
      </c>
      <c r="H173" s="316">
        <v>0</v>
      </c>
      <c r="I173" s="316">
        <v>0</v>
      </c>
      <c r="J173" s="316">
        <v>0</v>
      </c>
      <c r="K173" s="316">
        <v>0</v>
      </c>
      <c r="Q173" s="149"/>
      <c r="R173" s="117"/>
      <c r="S173" s="53" t="str">
        <f>CONCATENATE("FY",$AD$3)</f>
        <v>FY2025</v>
      </c>
      <c r="T173" s="53" t="str">
        <f>CONCATENATE("FY",$AD$3+1)</f>
        <v>FY2026</v>
      </c>
      <c r="U173" s="53" t="str">
        <f>CONCATENATE("FY",$AD$3+2)</f>
        <v>FY2027</v>
      </c>
      <c r="V173" s="53" t="str">
        <f>CONCATENATE("FY",$AD$3+3)</f>
        <v>FY2028</v>
      </c>
      <c r="W173" s="53" t="str">
        <f>CONCATENATE("FY",$AD$3+4)</f>
        <v>FY2029</v>
      </c>
      <c r="X173" s="53" t="str">
        <f>CONCATENATE("FY",$AD$3+5)</f>
        <v>FY2030</v>
      </c>
      <c r="Y173" s="53" t="str">
        <f>CONCATENATE("FY",$AD$3+6)</f>
        <v>FY2031</v>
      </c>
      <c r="Z173" s="53" t="str">
        <f>CONCATENATE("FY",$AD$3+7)</f>
        <v>FY2032</v>
      </c>
      <c r="AA173" s="53" t="str">
        <f>CONCATENATE("FY",$AD$3+8)</f>
        <v>FY2033</v>
      </c>
      <c r="AB173" s="53" t="str">
        <f>CONCATENATE("FY",$AD$3+9)</f>
        <v>FY2034</v>
      </c>
    </row>
    <row r="174" spans="1:30" x14ac:dyDescent="0.25">
      <c r="A174" s="147" t="s">
        <v>61</v>
      </c>
      <c r="B174" s="316">
        <v>0</v>
      </c>
      <c r="C174" s="316">
        <v>0</v>
      </c>
      <c r="D174" s="316">
        <v>0</v>
      </c>
      <c r="E174" s="316">
        <v>0</v>
      </c>
      <c r="F174" s="316">
        <v>0</v>
      </c>
      <c r="G174" s="316">
        <v>0</v>
      </c>
      <c r="H174" s="316">
        <v>0</v>
      </c>
      <c r="I174" s="316">
        <v>0</v>
      </c>
      <c r="J174" s="316">
        <v>0</v>
      </c>
      <c r="K174" s="316">
        <v>0</v>
      </c>
      <c r="Q174" s="149"/>
      <c r="R174" s="118"/>
      <c r="S174" s="53" t="str">
        <f>IF(OR($AD$2&gt;=7,$AD$2&lt;=2),CONCATENATE("FY",$AD$3),IF(AND($AD$2&gt;=3,$AD$2&lt;=6),CONCATENATE("FY",$AD$3+1),"N/A"))</f>
        <v>FY2025</v>
      </c>
      <c r="T174" s="53" t="str">
        <f>IF(OR($AD$2&gt;=7,$AD$2&lt;=2),CONCATENATE("FY",$AD$3+1),IF(AND($AD$2&gt;=3,$AD$2&lt;=6),CONCATENATE("FY",$AD$3+2),"N/A"))</f>
        <v>FY2026</v>
      </c>
      <c r="U174" s="53" t="str">
        <f>IF(OR($AD$2&gt;=7,$AD$2&lt;=2),CONCATENATE("FY",$AD$3+2),IF(AND($AD$2&gt;=3,$AD$2&lt;=6),CONCATENATE("FY",$AD$3+3),"N/A"))</f>
        <v>FY2027</v>
      </c>
      <c r="V174" s="53" t="str">
        <f>IF(OR($AD$2&gt;=7,$AD$2&lt;=2),CONCATENATE("FY",$AD$3+3),IF(AND($AD$2&gt;=3,$AD$2&lt;=6),CONCATENATE("FY",$AD$3+4),"N/A"))</f>
        <v>FY2028</v>
      </c>
      <c r="W174" s="53" t="str">
        <f>IF(OR($AD$2&gt;=7,$AD$2&lt;=2),CONCATENATE("FY",$AD$3+4),IF(AND($AD$2&gt;=3,$AD$2&lt;=6),CONCATENATE("FY",$AD$3+5),"N/A"))</f>
        <v>FY2029</v>
      </c>
      <c r="X174" s="53" t="str">
        <f>IF(OR($AD$2&gt;=7,$AD$2&lt;=2),CONCATENATE("FY",$AD$3+5),IF(AND($AD$2&gt;=3,$AD$2&lt;=6),CONCATENATE("FY",$AD$3+6),"N/A"))</f>
        <v>FY2030</v>
      </c>
      <c r="Y174" s="53" t="str">
        <f>IF(OR($AD$2&gt;=7,$AD$2&lt;=2),CONCATENATE("FY",$AD$3+6),IF(AND($AD$2&gt;=3,$AD$2&lt;=6),CONCATENATE("FY",$AD$3+7),"N/A"))</f>
        <v>FY2031</v>
      </c>
      <c r="Z174" s="53" t="str">
        <f>IF(OR($AD$2&gt;=7,$AD$2&lt;=2),CONCATENATE("FY",$AD$3+7),IF(AND($AD$2&gt;=3,$AD$2&lt;=6),CONCATENATE("FY",$AD$3+8),"N/A"))</f>
        <v>FY2032</v>
      </c>
      <c r="AA174" s="53" t="str">
        <f>IF(OR($AD$2&gt;=7,$AD$2&lt;=2),CONCATENATE("FY",$AD$3+8),IF(AND($AD$2&gt;=3,$AD$2&lt;=6),CONCATENATE("FY",$AD$3+9),"N/A"))</f>
        <v>FY2033</v>
      </c>
      <c r="AB174" s="53" t="str">
        <f>IF(OR($AD$2&gt;=7,$AD$2&lt;=2),CONCATENATE("FY",$AD$3+9),IF(AND($AD$2&gt;=3,$AD$2&lt;=6),CONCATENATE("FY",$AD$3+10),"N/A"))</f>
        <v>FY2034</v>
      </c>
    </row>
    <row r="175" spans="1:30" x14ac:dyDescent="0.25">
      <c r="A175" s="147" t="s">
        <v>66</v>
      </c>
      <c r="B175" s="54">
        <f>ROUND(B172*(B173*B174),0)</f>
        <v>0</v>
      </c>
      <c r="C175" s="54">
        <f t="shared" ref="C175:F175" si="283">ROUND(C172*(C173*C174),0)</f>
        <v>0</v>
      </c>
      <c r="D175" s="54">
        <f t="shared" si="283"/>
        <v>0</v>
      </c>
      <c r="E175" s="54">
        <f t="shared" si="283"/>
        <v>0</v>
      </c>
      <c r="F175" s="54">
        <f t="shared" si="283"/>
        <v>0</v>
      </c>
      <c r="G175" s="54">
        <f t="shared" ref="G175:K175" si="284">ROUND(G172*(G173*G174),0)</f>
        <v>0</v>
      </c>
      <c r="H175" s="54">
        <f t="shared" si="284"/>
        <v>0</v>
      </c>
      <c r="I175" s="54">
        <f t="shared" si="284"/>
        <v>0</v>
      </c>
      <c r="J175" s="54">
        <f t="shared" si="284"/>
        <v>0</v>
      </c>
      <c r="K175" s="54">
        <f t="shared" si="284"/>
        <v>0</v>
      </c>
      <c r="Q175" s="149"/>
      <c r="R175" s="53"/>
      <c r="S175" s="53" t="str">
        <f>IF(AND($AD$2&gt;=1,$AD$2&lt;=6),CONCATENATE("FY",$AD$3+1),IF(AND($AD$2&gt;=7,$AD$2&lt;=9),CONCATENATE("FY",$AD$3),IF(AND($AD$2&gt;=10,$AD$2&lt;=126),CONCATENATE("FY",$AD$3+1),"N/A")))</f>
        <v>FY2026</v>
      </c>
      <c r="T175" s="53" t="str">
        <f>IF(AND($AD$2&gt;=1,$AD$2&lt;=6),CONCATENATE("FY",$AD$3+2),IF(AND($AD$2&gt;=7,$AD$2&lt;=9),CONCATENATE("FY",$AD$3+1),IF(AND($AD$2&gt;=10,$AD$2&lt;=126),CONCATENATE("FY",$AD$3+2),"N/A")))</f>
        <v>FY2027</v>
      </c>
      <c r="U175" s="53" t="str">
        <f>IF(AND($AD$2&gt;=1,$AD$2&lt;=6),CONCATENATE("FY",$AD$3+3),IF(AND($AD$2&gt;=7,$AD$2&lt;=9),CONCATENATE("FY",$AD$3+2),IF(AND($AD$2&gt;=10,$AD$2&lt;=126),CONCATENATE("FY",$AD$3+3),"N/A")))</f>
        <v>FY2028</v>
      </c>
      <c r="V175" s="53" t="str">
        <f>IF(AND($AD$2&gt;=1,$AD$2&lt;=6),CONCATENATE("FY",$AD$3+4),IF(AND($AD$2&gt;=7,$AD$2&lt;=9),CONCATENATE("FY",$AD$3+3),IF(AND($AD$2&gt;=10,$AD$2&lt;=126),CONCATENATE("FY",$AD$3+4),"N/A")))</f>
        <v>FY2029</v>
      </c>
      <c r="W175" s="53" t="str">
        <f>IF(AND($AD$2&gt;=1,$AD$2&lt;=6),CONCATENATE("FY",$AD$3+5),IF(AND($AD$2&gt;=7,$AD$2&lt;=9),CONCATENATE("FY",$AD$3+4),IF(AND($AD$2&gt;=10,$AD$2&lt;=126),CONCATENATE("FY",$AD$3+5),"N/A")))</f>
        <v>FY2030</v>
      </c>
      <c r="X175" s="53" t="str">
        <f>IF(AND($AD$2&gt;=1,$AD$2&lt;=6),CONCATENATE("FY",$AD$3+6),IF(AND($AD$2&gt;=7,$AD$2&lt;=9),CONCATENATE("FY",$AD$3+5),IF(AND($AD$2&gt;=10,$AD$2&lt;=126),CONCATENATE("FY",$AD$3+6),"N/A")))</f>
        <v>FY2031</v>
      </c>
      <c r="Y175" s="53" t="str">
        <f>IF(AND($AD$2&gt;=1,$AD$2&lt;=6),CONCATENATE("FY",$AD$3+6),IF(AND($AD$2&gt;=7,$AD$2&lt;=9),CONCATENATE("FY",$AD$3+6),IF(AND($AD$2&gt;=10,$AD$2&lt;=126),CONCATENATE("FY",$AD$3+7),"N/A")))</f>
        <v>FY2031</v>
      </c>
      <c r="Z175" s="53" t="str">
        <f>IF(AND($AD$2&gt;=1,$AD$2&lt;=6),CONCATENATE("FY",$AD$3+6),IF(AND($AD$2&gt;=7,$AD$2&lt;=9),CONCATENATE("FY",$AD$3+7),IF(AND($AD$2&gt;=10,$AD$2&lt;=126),CONCATENATE("FY",$AD$3+8),"N/A")))</f>
        <v>FY2031</v>
      </c>
      <c r="AA175" s="53" t="str">
        <f>IF(AND($AD$2&gt;=1,$AD$2&lt;=6),CONCATENATE("FY",$AD$3+6),IF(AND($AD$2&gt;=7,$AD$2&lt;=9),CONCATENATE("FY",$AD$3+8),IF(AND($AD$2&gt;=10,$AD$2&lt;=126),CONCATENATE("FY",$AD$3+9),"N/A")))</f>
        <v>FY2031</v>
      </c>
      <c r="AB175" s="53" t="str">
        <f>IF(AND($AD$2&gt;=1,$AD$2&lt;=6),CONCATENATE("FY",$AD$3+6),IF(AND($AD$2&gt;=7,$AD$2&lt;=9),CONCATENATE("FY",$AD$3+9),IF(AND($AD$2&gt;=10,$AD$2&lt;=126),CONCATENATE("FY",$AD$3+10),"N/A")))</f>
        <v>FY2031</v>
      </c>
    </row>
    <row r="176" spans="1:30" ht="15.75" thickBot="1" x14ac:dyDescent="0.3">
      <c r="A176" s="147" t="s">
        <v>58</v>
      </c>
      <c r="B176" s="316">
        <v>0</v>
      </c>
      <c r="C176" s="316">
        <v>0</v>
      </c>
      <c r="D176" s="316">
        <v>0</v>
      </c>
      <c r="E176" s="316">
        <v>0</v>
      </c>
      <c r="F176" s="316">
        <v>0</v>
      </c>
      <c r="G176" s="316">
        <v>0</v>
      </c>
      <c r="H176" s="316">
        <v>0</v>
      </c>
      <c r="I176" s="316">
        <v>0</v>
      </c>
      <c r="J176" s="316">
        <v>0</v>
      </c>
      <c r="K176" s="316">
        <v>0</v>
      </c>
      <c r="Q176" s="149"/>
      <c r="R176" s="422" t="s">
        <v>106</v>
      </c>
      <c r="S176" s="50" t="s">
        <v>1</v>
      </c>
      <c r="T176" s="51" t="s">
        <v>2</v>
      </c>
      <c r="U176" s="51" t="s">
        <v>3</v>
      </c>
      <c r="V176" s="51" t="s">
        <v>39</v>
      </c>
      <c r="W176" s="51" t="s">
        <v>45</v>
      </c>
      <c r="X176" s="51" t="s">
        <v>183</v>
      </c>
      <c r="Y176" s="51" t="s">
        <v>184</v>
      </c>
      <c r="Z176" s="51" t="s">
        <v>185</v>
      </c>
      <c r="AA176" s="51" t="s">
        <v>186</v>
      </c>
      <c r="AB176" s="51" t="s">
        <v>187</v>
      </c>
    </row>
    <row r="177" spans="1:28" x14ac:dyDescent="0.25">
      <c r="A177" s="147" t="s">
        <v>59</v>
      </c>
      <c r="B177" s="316">
        <v>0</v>
      </c>
      <c r="C177" s="316">
        <v>0</v>
      </c>
      <c r="D177" s="316">
        <v>0</v>
      </c>
      <c r="E177" s="316">
        <v>0</v>
      </c>
      <c r="F177" s="316">
        <v>0</v>
      </c>
      <c r="G177" s="316">
        <v>0</v>
      </c>
      <c r="H177" s="316">
        <v>0</v>
      </c>
      <c r="I177" s="316">
        <v>0</v>
      </c>
      <c r="J177" s="316">
        <v>0</v>
      </c>
      <c r="K177" s="316">
        <v>0</v>
      </c>
      <c r="Q177" s="149"/>
      <c r="R177" s="119" t="str">
        <f t="shared" ref="R177:R185" si="285">+R96</f>
        <v>Stipend (Spring)</v>
      </c>
      <c r="S177" s="120">
        <f t="shared" ref="S177:AB177" si="286">IF(RIGHT($R177,8)="(Summer)",ROUND(S161*HLOOKUP(S173,CoPI_1_GRARateTbl,3,FALSE),0))+IF(RIGHT($R177,8)&lt;&gt;"(Summer)",ROUND(S161*HLOOKUP(S173,CoPI_1_GRARateTbl,2,FALSE)/2,0))</f>
        <v>0</v>
      </c>
      <c r="T177" s="120">
        <f t="shared" si="286"/>
        <v>0</v>
      </c>
      <c r="U177" s="120">
        <f t="shared" si="286"/>
        <v>0</v>
      </c>
      <c r="V177" s="120">
        <f t="shared" si="286"/>
        <v>0</v>
      </c>
      <c r="W177" s="120">
        <f t="shared" si="286"/>
        <v>0</v>
      </c>
      <c r="X177" s="120">
        <f t="shared" si="286"/>
        <v>0</v>
      </c>
      <c r="Y177" s="120">
        <f t="shared" si="286"/>
        <v>0</v>
      </c>
      <c r="Z177" s="120">
        <f t="shared" si="286"/>
        <v>0</v>
      </c>
      <c r="AA177" s="120">
        <f t="shared" si="286"/>
        <v>0</v>
      </c>
      <c r="AB177" s="120">
        <f t="shared" si="286"/>
        <v>0</v>
      </c>
    </row>
    <row r="178" spans="1:28" x14ac:dyDescent="0.25">
      <c r="A178" s="147" t="s">
        <v>67</v>
      </c>
      <c r="B178" s="54">
        <f t="shared" ref="B178:G178" si="287">ROUND(B172*(B176*B177),0)</f>
        <v>0</v>
      </c>
      <c r="C178" s="54">
        <f t="shared" si="287"/>
        <v>0</v>
      </c>
      <c r="D178" s="54">
        <f t="shared" si="287"/>
        <v>0</v>
      </c>
      <c r="E178" s="54">
        <f t="shared" si="287"/>
        <v>0</v>
      </c>
      <c r="F178" s="54">
        <f t="shared" si="287"/>
        <v>0</v>
      </c>
      <c r="G178" s="54">
        <f t="shared" si="287"/>
        <v>0</v>
      </c>
      <c r="H178" s="54">
        <f t="shared" ref="H178" si="288">ROUND(H172*(H176*H177),0)</f>
        <v>0</v>
      </c>
      <c r="I178" s="54">
        <f t="shared" ref="I178" si="289">ROUND(I172*(I176*I177),0)</f>
        <v>0</v>
      </c>
      <c r="J178" s="54">
        <f t="shared" ref="J178" si="290">ROUND(J172*(J176*J177),0)</f>
        <v>0</v>
      </c>
      <c r="K178" s="54">
        <f t="shared" ref="K178" si="291">ROUND(K172*(K176*K177),0)</f>
        <v>0</v>
      </c>
      <c r="Q178" s="149"/>
      <c r="R178" s="121" t="str">
        <f t="shared" si="285"/>
        <v>Stipend (Summer)</v>
      </c>
      <c r="S178" s="120">
        <f t="shared" ref="S178:AB178" si="292">IF(RIGHT($R178,8)="(Summer)",ROUND(S162*HLOOKUP(S174,CoPI_1_GRARateTbl,3,FALSE),0))+IF(RIGHT($R178,8)&lt;&gt;"(Summer)",ROUND(S162*HLOOKUP(S174,CoPI_1_GRARateTbl,2,FALSE)/2,0))</f>
        <v>0</v>
      </c>
      <c r="T178" s="120">
        <f t="shared" si="292"/>
        <v>0</v>
      </c>
      <c r="U178" s="120">
        <f t="shared" si="292"/>
        <v>0</v>
      </c>
      <c r="V178" s="120">
        <f t="shared" si="292"/>
        <v>0</v>
      </c>
      <c r="W178" s="120">
        <f t="shared" si="292"/>
        <v>0</v>
      </c>
      <c r="X178" s="120">
        <f t="shared" si="292"/>
        <v>0</v>
      </c>
      <c r="Y178" s="120">
        <f t="shared" si="292"/>
        <v>0</v>
      </c>
      <c r="Z178" s="120">
        <f t="shared" si="292"/>
        <v>0</v>
      </c>
      <c r="AA178" s="120">
        <f t="shared" si="292"/>
        <v>0</v>
      </c>
      <c r="AB178" s="120">
        <f t="shared" si="292"/>
        <v>0</v>
      </c>
    </row>
    <row r="179" spans="1:28" x14ac:dyDescent="0.25">
      <c r="A179" s="147" t="s">
        <v>21</v>
      </c>
      <c r="B179" s="110">
        <f t="shared" ref="B179:G179" si="293">+B175+B178</f>
        <v>0</v>
      </c>
      <c r="C179" s="110">
        <f t="shared" si="293"/>
        <v>0</v>
      </c>
      <c r="D179" s="110">
        <f t="shared" si="293"/>
        <v>0</v>
      </c>
      <c r="E179" s="110">
        <f t="shared" si="293"/>
        <v>0</v>
      </c>
      <c r="F179" s="110">
        <f t="shared" si="293"/>
        <v>0</v>
      </c>
      <c r="G179" s="110">
        <f t="shared" si="293"/>
        <v>0</v>
      </c>
      <c r="H179" s="110">
        <f t="shared" ref="H179" si="294">+H175+H178</f>
        <v>0</v>
      </c>
      <c r="I179" s="110">
        <f t="shared" ref="I179" si="295">+I175+I178</f>
        <v>0</v>
      </c>
      <c r="J179" s="110">
        <f t="shared" ref="J179" si="296">+J175+J178</f>
        <v>0</v>
      </c>
      <c r="K179" s="110">
        <f t="shared" ref="K179" si="297">+K175+K178</f>
        <v>0</v>
      </c>
      <c r="Q179" s="149"/>
      <c r="R179" s="121" t="str">
        <f t="shared" si="285"/>
        <v>Stipend (Fall)</v>
      </c>
      <c r="S179" s="120">
        <f t="shared" ref="S179:AB179" si="298">IF(RIGHT($R179,8)="(Summer)",ROUND(S163*HLOOKUP(S175,CoPI_1_GRARateTbl,3,FALSE),0))+IF(RIGHT($R179,8)&lt;&gt;"(Summer)",ROUND(S163*HLOOKUP(S175,CoPI_1_GRARateTbl,2,FALSE)/2,0))</f>
        <v>0</v>
      </c>
      <c r="T179" s="120">
        <f t="shared" si="298"/>
        <v>0</v>
      </c>
      <c r="U179" s="120">
        <f t="shared" si="298"/>
        <v>0</v>
      </c>
      <c r="V179" s="120">
        <f t="shared" si="298"/>
        <v>0</v>
      </c>
      <c r="W179" s="120">
        <f t="shared" si="298"/>
        <v>0</v>
      </c>
      <c r="X179" s="120">
        <f t="shared" si="298"/>
        <v>0</v>
      </c>
      <c r="Y179" s="120">
        <f t="shared" si="298"/>
        <v>0</v>
      </c>
      <c r="Z179" s="120">
        <f t="shared" si="298"/>
        <v>0</v>
      </c>
      <c r="AA179" s="120">
        <f t="shared" si="298"/>
        <v>0</v>
      </c>
      <c r="AB179" s="120">
        <f t="shared" si="298"/>
        <v>0</v>
      </c>
    </row>
    <row r="180" spans="1:28" x14ac:dyDescent="0.25">
      <c r="A180" s="149"/>
      <c r="I180" s="23"/>
      <c r="J180" s="23"/>
      <c r="K180" s="23"/>
      <c r="L180" s="23"/>
      <c r="M180" s="23"/>
      <c r="N180" s="23"/>
      <c r="Q180" s="149"/>
      <c r="R180" s="121" t="str">
        <f t="shared" si="285"/>
        <v>Tuition (Spring)</v>
      </c>
      <c r="S180" s="120">
        <f t="shared" ref="S180:AB180" si="299">IF(RIGHT($R180,8)="(Summer)",0,ROUND(S161*HLOOKUP(S173,CoPI_1_GRARateTbl,5,FALSE)/2,0))</f>
        <v>0</v>
      </c>
      <c r="T180" s="120">
        <f t="shared" si="299"/>
        <v>0</v>
      </c>
      <c r="U180" s="120">
        <f t="shared" si="299"/>
        <v>0</v>
      </c>
      <c r="V180" s="120">
        <f t="shared" si="299"/>
        <v>0</v>
      </c>
      <c r="W180" s="120">
        <f t="shared" si="299"/>
        <v>0</v>
      </c>
      <c r="X180" s="120">
        <f t="shared" si="299"/>
        <v>0</v>
      </c>
      <c r="Y180" s="120">
        <f t="shared" si="299"/>
        <v>0</v>
      </c>
      <c r="Z180" s="120">
        <f t="shared" si="299"/>
        <v>0</v>
      </c>
      <c r="AA180" s="120">
        <f t="shared" si="299"/>
        <v>0</v>
      </c>
      <c r="AB180" s="120">
        <f t="shared" si="299"/>
        <v>0</v>
      </c>
    </row>
    <row r="181" spans="1:28" x14ac:dyDescent="0.25">
      <c r="A181" s="150" t="s">
        <v>88</v>
      </c>
      <c r="B181" s="104" t="str">
        <f t="shared" ref="B181:L181" si="300">IF(AND(B182=$AE$5,$O183=9),$AE$3,IF(AND(B182=$AF$5,$O183=9),$AF$3,IF(AND(B182=$AG$5,$O183=9),$AG$3,IF(AND(B182=$AH$5,$O183=9),$AH$3,IF(AND(B182=$AI$5,$O183=9),$AI$3,IF(AND(B182=$AJ$5,$O183=9),$AJ$3,IF(AND(B182=$AK$5,$O183=9),$AK$3,IF(AND(B182=$AL$5,$O183=9),$AL$3,IF(AND(B182=$AM$5,$O183=9),$AM$3,IF(AND(B182=$AN$5,$O183=9),$AN$3,IF(AND(B182=$AO$5,$O183=9),$AO$3,IF(AND(B182=$AP$5,$O183=9),$AJ$3,IF(AND(B182=$AE$4,$O183=12),$AE$3,IF(AND(B182=$AF$4,$O183=12),$AF$3,IF(AND(B182=$AG$4,$O183=12),$AG$3,IF(AND(B182=$AH$4,$O183=12),$AH$3,IF(AND(B182=$AI$4,$O183=12),$AI$3,IF(AND(B182=$AJ$4,$O183=12),$AJ$3,IF(AND(B182=$AK$4,$O183=12),$AK$3,IF(AND(B182=$AL$4,$O183=12),$AL$3,IF(AND(B182=$AM$4,$O183=12),$AM$3,IF(AND(B182=$AN$4,$O183=12),$AN$3,IF(AND(B182=$AO$4,$O183=12),$AO$3,IF(AND(B182=$AP$4,$O183=12),$AJ$3," "))))))))))))))))))))))))</f>
        <v>Year 1</v>
      </c>
      <c r="C181" s="104" t="str">
        <f t="shared" si="300"/>
        <v>Year 2</v>
      </c>
      <c r="D181" s="104" t="str">
        <f t="shared" si="300"/>
        <v>Year 3</v>
      </c>
      <c r="E181" s="104" t="str">
        <f t="shared" si="300"/>
        <v>Year 4</v>
      </c>
      <c r="F181" s="104" t="str">
        <f t="shared" si="300"/>
        <v>Year 5</v>
      </c>
      <c r="G181" s="104" t="str">
        <f t="shared" si="300"/>
        <v>Year 6</v>
      </c>
      <c r="H181" s="104" t="str">
        <f t="shared" si="300"/>
        <v>Year 7</v>
      </c>
      <c r="I181" s="104" t="str">
        <f t="shared" si="300"/>
        <v>Year 8</v>
      </c>
      <c r="J181" s="104" t="str">
        <f t="shared" si="300"/>
        <v>Year 9</v>
      </c>
      <c r="K181" s="104" t="str">
        <f t="shared" si="300"/>
        <v>Year 10</v>
      </c>
      <c r="L181" s="104" t="str">
        <f t="shared" si="300"/>
        <v>Year 11</v>
      </c>
      <c r="M181" s="104" t="str">
        <f t="shared" ref="M181" si="301">IF(AND(M182=$AE$5,$O183=9),$AE$3,IF(AND(M182=$AF$5,$O183=9),$AF$3,IF(AND(M182=$AG$5,$O183=9),$AG$3,IF(AND(M182=$AH$5,$O183=9),$AH$3,IF(AND(M182=$AI$5,$O183=9),$AI$3,IF(AND(M182=$AJ$5,$O183=9),$AJ$3,IF(AND(M182=$AK$5,$O183=9),$AK$3,IF(AND(M182=$AL$5,$O183=9),$AL$3,IF(AND(M182=$AM$5,$O183=9),$AM$3,IF(AND(M182=$AN$5,$O183=9),$AN$3,IF(AND(M182=$AO$5,$O183=9),$AO$3,IF(AND(M182=$AP$5,$O183=9),$AJ$3,IF(AND(M182=$AE$4,$O183=12),$AE$3,IF(AND(M182=$AF$4,$O183=12),$AF$3,IF(AND(M182=$AG$4,$O183=12),$AG$3,IF(AND(M182=$AH$4,$O183=12),$AH$3,IF(AND(M182=$AI$4,$O183=12),$AI$3,IF(AND(M182=$AJ$4,$O183=12),$AJ$3,IF(AND(M182=$AK$4,$O183=12),$AK$3,IF(AND(M182=$AL$4,$O183=12),$AL$3,IF(AND(M182=$AM$4,$O183=12),$AM$3,IF(AND(M182=$AN$4,$O183=12),$AN$3,IF(AND(M182=$AO$4,$O183=12),$AO$3,IF(AND(M182=$AP$4,$O183=12),$AJ$3," "))))))))))))))))))))))))</f>
        <v>Year 6</v>
      </c>
      <c r="N181" s="104"/>
      <c r="Q181" s="149"/>
      <c r="R181" s="121" t="str">
        <f t="shared" si="285"/>
        <v>Tuition (Summer)</v>
      </c>
      <c r="S181" s="120">
        <f t="shared" ref="S181:AB181" si="302">IF(RIGHT($R181,8)="(Summer)",0,ROUND(S162*HLOOKUP(S174,CoPI_1_GRARateTbl,5,FALSE)/2,0))</f>
        <v>0</v>
      </c>
      <c r="T181" s="120">
        <f t="shared" si="302"/>
        <v>0</v>
      </c>
      <c r="U181" s="120">
        <f t="shared" si="302"/>
        <v>0</v>
      </c>
      <c r="V181" s="120">
        <f t="shared" si="302"/>
        <v>0</v>
      </c>
      <c r="W181" s="120">
        <f t="shared" si="302"/>
        <v>0</v>
      </c>
      <c r="X181" s="120">
        <f t="shared" si="302"/>
        <v>0</v>
      </c>
      <c r="Y181" s="120">
        <f t="shared" si="302"/>
        <v>0</v>
      </c>
      <c r="Z181" s="120">
        <f t="shared" si="302"/>
        <v>0</v>
      </c>
      <c r="AA181" s="120">
        <f t="shared" si="302"/>
        <v>0</v>
      </c>
      <c r="AB181" s="120">
        <f t="shared" si="302"/>
        <v>0</v>
      </c>
    </row>
    <row r="182" spans="1:28" x14ac:dyDescent="0.25">
      <c r="A182" s="323" t="s">
        <v>29</v>
      </c>
      <c r="B182" s="55" t="str">
        <f t="shared" ref="B182:I182" si="303">+N$2</f>
        <v>FY2025</v>
      </c>
      <c r="C182" s="55" t="str">
        <f t="shared" si="303"/>
        <v>FY2026</v>
      </c>
      <c r="D182" s="55" t="str">
        <f t="shared" si="303"/>
        <v>FY2027</v>
      </c>
      <c r="E182" s="55" t="str">
        <f t="shared" si="303"/>
        <v>FY2028</v>
      </c>
      <c r="F182" s="55" t="str">
        <f t="shared" si="303"/>
        <v>FY2029</v>
      </c>
      <c r="G182" s="55" t="str">
        <f t="shared" si="303"/>
        <v>FY2030</v>
      </c>
      <c r="H182" s="55" t="str">
        <f t="shared" si="303"/>
        <v>FY2031</v>
      </c>
      <c r="I182" s="55" t="str">
        <f t="shared" si="303"/>
        <v>FY2032</v>
      </c>
      <c r="J182" s="55" t="str">
        <f t="shared" ref="J182" si="304">+V$2</f>
        <v>FY2033</v>
      </c>
      <c r="K182" s="55" t="str">
        <f t="shared" ref="K182:M182" si="305">+W$2</f>
        <v>FY2034</v>
      </c>
      <c r="L182" s="55" t="str">
        <f t="shared" si="305"/>
        <v>FY2035</v>
      </c>
      <c r="M182" s="55" t="str">
        <f t="shared" si="305"/>
        <v>FY2036</v>
      </c>
      <c r="N182" s="55"/>
      <c r="O182" s="32" t="s">
        <v>20</v>
      </c>
      <c r="P182" s="89"/>
      <c r="Q182" s="154"/>
      <c r="R182" s="121" t="str">
        <f t="shared" si="285"/>
        <v>Tuition (Fall)</v>
      </c>
      <c r="S182" s="120">
        <f t="shared" ref="S182:AB182" si="306">IF(RIGHT($R182,8)="(Summer)",0,ROUND(S163*HLOOKUP(S175,CoPI_1_GRARateTbl,5,FALSE)/2,0))</f>
        <v>0</v>
      </c>
      <c r="T182" s="120">
        <f t="shared" si="306"/>
        <v>0</v>
      </c>
      <c r="U182" s="120">
        <f t="shared" si="306"/>
        <v>0</v>
      </c>
      <c r="V182" s="120">
        <f t="shared" si="306"/>
        <v>0</v>
      </c>
      <c r="W182" s="120">
        <f t="shared" si="306"/>
        <v>0</v>
      </c>
      <c r="X182" s="120">
        <f t="shared" si="306"/>
        <v>0</v>
      </c>
      <c r="Y182" s="120">
        <f t="shared" si="306"/>
        <v>0</v>
      </c>
      <c r="Z182" s="120">
        <f t="shared" si="306"/>
        <v>0</v>
      </c>
      <c r="AA182" s="120">
        <f t="shared" si="306"/>
        <v>0</v>
      </c>
      <c r="AB182" s="120">
        <f t="shared" si="306"/>
        <v>0</v>
      </c>
    </row>
    <row r="183" spans="1:28" x14ac:dyDescent="0.25">
      <c r="A183" s="147" t="str">
        <f>CONCATENATE("Base Salary: ",O183," month term")</f>
        <v>Base Salary: 12 month term</v>
      </c>
      <c r="B183" s="444">
        <v>0</v>
      </c>
      <c r="C183" s="445">
        <f t="shared" ref="C183:M183" si="307">ROUND(+B183*(1+(HLOOKUP(C182,FringeAndIDCRates,11,FALSE))),0)</f>
        <v>0</v>
      </c>
      <c r="D183" s="445">
        <f t="shared" si="307"/>
        <v>0</v>
      </c>
      <c r="E183" s="445">
        <f t="shared" si="307"/>
        <v>0</v>
      </c>
      <c r="F183" s="445">
        <f t="shared" si="307"/>
        <v>0</v>
      </c>
      <c r="G183" s="445">
        <f t="shared" si="307"/>
        <v>0</v>
      </c>
      <c r="H183" s="445">
        <f t="shared" si="307"/>
        <v>0</v>
      </c>
      <c r="I183" s="445">
        <f t="shared" si="307"/>
        <v>0</v>
      </c>
      <c r="J183" s="445">
        <f t="shared" si="307"/>
        <v>0</v>
      </c>
      <c r="K183" s="445">
        <f t="shared" si="307"/>
        <v>0</v>
      </c>
      <c r="L183" s="445">
        <f t="shared" si="307"/>
        <v>0</v>
      </c>
      <c r="M183" s="445">
        <f t="shared" si="307"/>
        <v>0</v>
      </c>
      <c r="N183" s="109"/>
      <c r="O183" s="310">
        <v>12</v>
      </c>
      <c r="P183" s="311"/>
      <c r="Q183" s="156"/>
      <c r="R183" s="121" t="str">
        <f t="shared" si="285"/>
        <v>Health Insurance (Spring)</v>
      </c>
      <c r="S183" s="120">
        <f t="shared" ref="S183:AB183" si="308">IF(RIGHT($R183,8)="(Summer)",0,ROUND(S161*HLOOKUP(S173,CoPI_1_GRARateTbl,6,FALSE)/2,0))</f>
        <v>0</v>
      </c>
      <c r="T183" s="120">
        <f t="shared" si="308"/>
        <v>0</v>
      </c>
      <c r="U183" s="120">
        <f t="shared" si="308"/>
        <v>0</v>
      </c>
      <c r="V183" s="120">
        <f t="shared" si="308"/>
        <v>0</v>
      </c>
      <c r="W183" s="120">
        <f t="shared" si="308"/>
        <v>0</v>
      </c>
      <c r="X183" s="120">
        <f t="shared" si="308"/>
        <v>0</v>
      </c>
      <c r="Y183" s="120">
        <f t="shared" si="308"/>
        <v>0</v>
      </c>
      <c r="Z183" s="120">
        <f t="shared" si="308"/>
        <v>0</v>
      </c>
      <c r="AA183" s="120">
        <f t="shared" si="308"/>
        <v>0</v>
      </c>
      <c r="AB183" s="120">
        <f t="shared" si="308"/>
        <v>0</v>
      </c>
    </row>
    <row r="184" spans="1:28" x14ac:dyDescent="0.25">
      <c r="A184" s="147" t="s">
        <v>44</v>
      </c>
      <c r="B184" s="312">
        <v>0</v>
      </c>
      <c r="C184" s="312">
        <v>0</v>
      </c>
      <c r="D184" s="312">
        <v>0</v>
      </c>
      <c r="E184" s="312">
        <v>0</v>
      </c>
      <c r="F184" s="312">
        <v>0</v>
      </c>
      <c r="G184" s="312">
        <v>0</v>
      </c>
      <c r="H184" s="312">
        <v>0</v>
      </c>
      <c r="I184" s="312">
        <v>0</v>
      </c>
      <c r="J184" s="312">
        <v>0</v>
      </c>
      <c r="K184" s="312">
        <v>0</v>
      </c>
      <c r="L184" s="312">
        <v>0</v>
      </c>
      <c r="M184" s="312">
        <v>0</v>
      </c>
      <c r="N184" s="400"/>
      <c r="O184" s="25"/>
      <c r="P184" s="25"/>
      <c r="Q184" s="147"/>
      <c r="R184" s="121" t="str">
        <f t="shared" si="285"/>
        <v>Health Insurance (Summer)</v>
      </c>
      <c r="S184" s="120">
        <f t="shared" ref="S184:AB184" si="309">IF(RIGHT($R184,8)="(Summer)",0,ROUND(S162*HLOOKUP(S174,CoPI_1_GRARateTbl,6,FALSE)/2,0))</f>
        <v>0</v>
      </c>
      <c r="T184" s="120">
        <f t="shared" si="309"/>
        <v>0</v>
      </c>
      <c r="U184" s="120">
        <f t="shared" si="309"/>
        <v>0</v>
      </c>
      <c r="V184" s="120">
        <f t="shared" si="309"/>
        <v>0</v>
      </c>
      <c r="W184" s="120">
        <f t="shared" si="309"/>
        <v>0</v>
      </c>
      <c r="X184" s="120">
        <f t="shared" si="309"/>
        <v>0</v>
      </c>
      <c r="Y184" s="120">
        <f t="shared" si="309"/>
        <v>0</v>
      </c>
      <c r="Z184" s="120">
        <f t="shared" si="309"/>
        <v>0</v>
      </c>
      <c r="AA184" s="120">
        <f t="shared" si="309"/>
        <v>0</v>
      </c>
      <c r="AB184" s="120">
        <f t="shared" si="309"/>
        <v>0</v>
      </c>
    </row>
    <row r="185" spans="1:28" x14ac:dyDescent="0.25">
      <c r="A185" s="147" t="str">
        <f>CONCATENATE("FTE for ",O183," Months")</f>
        <v>FTE for 12 Months</v>
      </c>
      <c r="B185" s="393">
        <f t="shared" ref="B185:L185" si="310">+B184/$O183</f>
        <v>0</v>
      </c>
      <c r="C185" s="393">
        <f t="shared" si="310"/>
        <v>0</v>
      </c>
      <c r="D185" s="393">
        <f t="shared" si="310"/>
        <v>0</v>
      </c>
      <c r="E185" s="393">
        <f t="shared" si="310"/>
        <v>0</v>
      </c>
      <c r="F185" s="393">
        <f t="shared" si="310"/>
        <v>0</v>
      </c>
      <c r="G185" s="393">
        <f t="shared" si="310"/>
        <v>0</v>
      </c>
      <c r="H185" s="393">
        <f t="shared" si="310"/>
        <v>0</v>
      </c>
      <c r="I185" s="393">
        <f t="shared" si="310"/>
        <v>0</v>
      </c>
      <c r="J185" s="393">
        <f t="shared" si="310"/>
        <v>0</v>
      </c>
      <c r="K185" s="393">
        <f t="shared" si="310"/>
        <v>0</v>
      </c>
      <c r="L185" s="393">
        <f t="shared" si="310"/>
        <v>0</v>
      </c>
      <c r="M185" s="393">
        <f t="shared" ref="M185" si="311">+M184/$O183</f>
        <v>0</v>
      </c>
      <c r="N185" s="401"/>
      <c r="O185" s="89"/>
      <c r="P185" s="89"/>
      <c r="Q185" s="154"/>
      <c r="R185" s="121" t="str">
        <f t="shared" si="285"/>
        <v>Health Insurance (Fall)</v>
      </c>
      <c r="S185" s="120">
        <f t="shared" ref="S185:AB185" si="312">IF(RIGHT($R185,8)="(Summer)",0,ROUND(S163*HLOOKUP(S175,CoPI_1_GRARateTbl,6,FALSE)/2,0))</f>
        <v>0</v>
      </c>
      <c r="T185" s="120">
        <f t="shared" si="312"/>
        <v>0</v>
      </c>
      <c r="U185" s="120">
        <f t="shared" si="312"/>
        <v>0</v>
      </c>
      <c r="V185" s="120">
        <f t="shared" si="312"/>
        <v>0</v>
      </c>
      <c r="W185" s="120">
        <f t="shared" si="312"/>
        <v>0</v>
      </c>
      <c r="X185" s="120">
        <f t="shared" si="312"/>
        <v>0</v>
      </c>
      <c r="Y185" s="120">
        <f t="shared" si="312"/>
        <v>0</v>
      </c>
      <c r="Z185" s="120">
        <f t="shared" si="312"/>
        <v>0</v>
      </c>
      <c r="AA185" s="120">
        <f t="shared" si="312"/>
        <v>0</v>
      </c>
      <c r="AB185" s="120">
        <f t="shared" si="312"/>
        <v>0</v>
      </c>
    </row>
    <row r="186" spans="1:28" ht="15.75" thickBot="1" x14ac:dyDescent="0.3">
      <c r="A186" s="147" t="s">
        <v>21</v>
      </c>
      <c r="B186" s="110">
        <f t="shared" ref="B186:K186" si="313">ROUND((B183*B185*$Q$41)+(C183*B185*$Q$42),0)</f>
        <v>0</v>
      </c>
      <c r="C186" s="110">
        <f t="shared" si="313"/>
        <v>0</v>
      </c>
      <c r="D186" s="110">
        <f t="shared" si="313"/>
        <v>0</v>
      </c>
      <c r="E186" s="110">
        <f t="shared" si="313"/>
        <v>0</v>
      </c>
      <c r="F186" s="110">
        <f t="shared" si="313"/>
        <v>0</v>
      </c>
      <c r="G186" s="110">
        <f t="shared" si="313"/>
        <v>0</v>
      </c>
      <c r="H186" s="110">
        <f t="shared" si="313"/>
        <v>0</v>
      </c>
      <c r="I186" s="110">
        <f t="shared" si="313"/>
        <v>0</v>
      </c>
      <c r="J186" s="110">
        <f t="shared" si="313"/>
        <v>0</v>
      </c>
      <c r="K186" s="110">
        <f t="shared" si="313"/>
        <v>0</v>
      </c>
      <c r="L186" s="110">
        <f>ROUND((L183*L185*$Q$41)+(N183*L185*$Q$42),0)</f>
        <v>0</v>
      </c>
      <c r="M186" s="110">
        <f>ROUND((M183*M185*$Q$41)+(O183*M185*$Q$42),0)</f>
        <v>0</v>
      </c>
      <c r="N186" s="402"/>
      <c r="O186" s="89"/>
      <c r="P186" s="89"/>
      <c r="Q186" s="154"/>
      <c r="R186" s="38" t="s">
        <v>31</v>
      </c>
      <c r="S186" s="39">
        <f t="shared" ref="S186:V186" si="314">SUM(S177:S185)</f>
        <v>0</v>
      </c>
      <c r="T186" s="39">
        <f t="shared" si="314"/>
        <v>0</v>
      </c>
      <c r="U186" s="39">
        <f t="shared" si="314"/>
        <v>0</v>
      </c>
      <c r="V186" s="39">
        <f t="shared" si="314"/>
        <v>0</v>
      </c>
      <c r="W186" s="39">
        <f t="shared" ref="W186" si="315">SUM(W177:W185)</f>
        <v>0</v>
      </c>
      <c r="X186" s="39">
        <f t="shared" ref="X186" si="316">SUM(X177:X185)</f>
        <v>0</v>
      </c>
      <c r="Y186" s="39">
        <f t="shared" ref="Y186" si="317">SUM(Y177:Y185)</f>
        <v>0</v>
      </c>
      <c r="Z186" s="39">
        <f t="shared" ref="Z186" si="318">SUM(Z177:Z185)</f>
        <v>0</v>
      </c>
      <c r="AA186" s="39">
        <f t="shared" ref="AA186" si="319">SUM(AA177:AA185)</f>
        <v>0</v>
      </c>
      <c r="AB186" s="39">
        <f t="shared" ref="AB186" si="320">SUM(AB177:AB185)</f>
        <v>0</v>
      </c>
    </row>
    <row r="189" spans="1:28" x14ac:dyDescent="0.25">
      <c r="A189" s="189" t="str">
        <f ca="1">+A16</f>
        <v>Co-PI Budget (2)</v>
      </c>
    </row>
    <row r="190" spans="1:28" x14ac:dyDescent="0.25">
      <c r="A190" s="135" t="s">
        <v>50</v>
      </c>
      <c r="B190" s="209" t="str">
        <f>+B16</f>
        <v>Co-PI</v>
      </c>
      <c r="C190" s="173"/>
      <c r="D190" s="173"/>
      <c r="E190" s="173"/>
      <c r="F190" s="173"/>
      <c r="G190" s="173"/>
      <c r="H190" s="173"/>
      <c r="I190" s="173"/>
      <c r="J190" s="173"/>
      <c r="K190" s="173"/>
      <c r="L190" s="173"/>
      <c r="M190" s="173"/>
      <c r="N190" s="173"/>
      <c r="O190" s="173"/>
    </row>
    <row r="191" spans="1:28" x14ac:dyDescent="0.25">
      <c r="A191" s="135" t="s">
        <v>53</v>
      </c>
      <c r="B191" s="324" t="s">
        <v>57</v>
      </c>
      <c r="C191" s="173"/>
      <c r="D191" s="173"/>
      <c r="E191" s="173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</row>
    <row r="192" spans="1:28" x14ac:dyDescent="0.25">
      <c r="A192" s="135" t="s">
        <v>53</v>
      </c>
      <c r="B192" s="324" t="s">
        <v>57</v>
      </c>
      <c r="C192" s="173"/>
      <c r="D192" s="173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</row>
    <row r="193" spans="1:17" x14ac:dyDescent="0.25">
      <c r="A193" s="135" t="s">
        <v>113</v>
      </c>
      <c r="B193" s="325" t="s">
        <v>95</v>
      </c>
      <c r="C193" s="173"/>
      <c r="D193" s="173"/>
      <c r="E193" s="173"/>
      <c r="F193" s="173"/>
      <c r="G193" s="173"/>
      <c r="H193" s="173"/>
      <c r="I193" s="173"/>
      <c r="J193" s="173"/>
      <c r="K193" s="173"/>
      <c r="L193" s="173"/>
      <c r="M193" s="173"/>
      <c r="N193" s="173"/>
      <c r="O193" s="173"/>
    </row>
    <row r="194" spans="1:17" x14ac:dyDescent="0.25">
      <c r="A194" s="135" t="s">
        <v>134</v>
      </c>
      <c r="B194" s="325" t="str">
        <f>+$B$32</f>
        <v>On</v>
      </c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73"/>
      <c r="N194" s="173"/>
      <c r="O194" s="173"/>
    </row>
    <row r="195" spans="1:17" x14ac:dyDescent="0.25">
      <c r="A195" s="173"/>
      <c r="B195" s="173"/>
      <c r="C195" s="173"/>
      <c r="D195" s="173"/>
      <c r="E195" s="173"/>
      <c r="F195" s="173"/>
      <c r="G195" s="173"/>
      <c r="H195" s="173"/>
      <c r="I195" s="173"/>
      <c r="J195" s="173"/>
      <c r="K195" s="173"/>
      <c r="L195" s="173"/>
      <c r="M195" s="173"/>
      <c r="N195" s="173"/>
      <c r="O195" s="173"/>
    </row>
    <row r="196" spans="1:17" x14ac:dyDescent="0.25">
      <c r="A196" s="135" t="s">
        <v>97</v>
      </c>
      <c r="B196" s="326" t="s">
        <v>95</v>
      </c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</row>
    <row r="197" spans="1:17" x14ac:dyDescent="0.25">
      <c r="A197" s="135" t="s">
        <v>98</v>
      </c>
      <c r="B197" s="326" t="s">
        <v>95</v>
      </c>
      <c r="C197" s="173"/>
      <c r="D197" s="173"/>
      <c r="E197" s="173"/>
      <c r="F197" s="173"/>
      <c r="G197" s="173"/>
      <c r="H197" s="173"/>
      <c r="I197" s="173"/>
      <c r="J197" s="173"/>
      <c r="K197" s="173"/>
      <c r="L197" s="173"/>
      <c r="M197" s="173"/>
      <c r="N197" s="173"/>
      <c r="O197" s="173"/>
    </row>
    <row r="198" spans="1:17" x14ac:dyDescent="0.25">
      <c r="A198" s="173"/>
      <c r="B198" s="182"/>
      <c r="C198" s="173"/>
      <c r="D198" s="173"/>
      <c r="E198" s="173"/>
      <c r="F198" s="173"/>
      <c r="G198" s="173"/>
      <c r="H198" s="173"/>
      <c r="I198" s="183"/>
      <c r="J198" s="183"/>
      <c r="K198" s="183"/>
      <c r="L198" s="183"/>
      <c r="M198" s="183"/>
      <c r="N198" s="183"/>
      <c r="O198" s="183"/>
      <c r="Q198" s="102"/>
    </row>
    <row r="199" spans="1:17" x14ac:dyDescent="0.25">
      <c r="A199" s="135" t="s">
        <v>100</v>
      </c>
      <c r="B199" s="184" t="str">
        <f>+$B$37</f>
        <v>FY2025</v>
      </c>
      <c r="C199" s="184" t="str">
        <f>+$C$37</f>
        <v>FY2026</v>
      </c>
      <c r="D199" s="184" t="str">
        <f>+$D$37</f>
        <v>FY2027</v>
      </c>
      <c r="E199" s="184" t="str">
        <f>+$E$37</f>
        <v>FY2028</v>
      </c>
      <c r="F199" s="184" t="str">
        <f>+$F$37</f>
        <v>FY2029</v>
      </c>
      <c r="G199" s="184" t="str">
        <f>+$G$37</f>
        <v>FY2030</v>
      </c>
      <c r="H199" s="184" t="str">
        <f>+$H$37</f>
        <v>FY2031</v>
      </c>
      <c r="I199" s="184" t="str">
        <f>CONCATENATE("FY",$AD$3+7)</f>
        <v>FY2032</v>
      </c>
      <c r="J199" s="184" t="str">
        <f>CONCATENATE("FY",$AD$3+8)</f>
        <v>FY2033</v>
      </c>
      <c r="K199" s="184" t="str">
        <f>CONCATENATE("FY",$AD$3+9)</f>
        <v>FY2034</v>
      </c>
      <c r="L199" s="184" t="str">
        <f>CONCATENATE("FY",$AD$3+10)</f>
        <v>FY2035</v>
      </c>
      <c r="M199" s="184" t="str">
        <f>CONCATENATE("FY",$AD$3+11)</f>
        <v>FY2036</v>
      </c>
      <c r="N199" s="183"/>
      <c r="O199" s="183"/>
      <c r="Q199" s="102"/>
    </row>
    <row r="200" spans="1:17" x14ac:dyDescent="0.25">
      <c r="A200" s="135" t="str">
        <f>IF(AND(B193="Contract College",B$6="Federal"),"   Contract (Federal) - Senior Personnel",IF(AND(B193="Contract College",B$6="Non-federal"),"   Contract (Non-federal) - Senior Personnel","   Endowed - Senior Personnel"))</f>
        <v xml:space="preserve">   Endowed - Senior Personnel</v>
      </c>
      <c r="B200" s="396">
        <f t="shared" ref="B200:M200" si="321">IF(AND($B193="Contract College",$B$6="Federal"),HLOOKUP(B199,FringeAndIDCRates,2,FALSE),IF(AND($B193="Contract College",$B$6="Non-Federal"),HLOOKUP(B199,FringeAndIDCRates,3,FALSE),HLOOKUP(B199,FringeAndIDCRates,4,FALSE)))</f>
        <v>0.35</v>
      </c>
      <c r="C200" s="396">
        <f t="shared" si="321"/>
        <v>0.35</v>
      </c>
      <c r="D200" s="396">
        <f t="shared" si="321"/>
        <v>0.35499999999999998</v>
      </c>
      <c r="E200" s="396">
        <f t="shared" si="321"/>
        <v>0.37</v>
      </c>
      <c r="F200" s="396">
        <f t="shared" si="321"/>
        <v>0.37</v>
      </c>
      <c r="G200" s="396">
        <f t="shared" si="321"/>
        <v>0.37</v>
      </c>
      <c r="H200" s="396">
        <f t="shared" si="321"/>
        <v>0.37</v>
      </c>
      <c r="I200" s="396">
        <f t="shared" si="321"/>
        <v>0.37</v>
      </c>
      <c r="J200" s="396">
        <f t="shared" si="321"/>
        <v>0.37</v>
      </c>
      <c r="K200" s="396">
        <f t="shared" si="321"/>
        <v>0.37</v>
      </c>
      <c r="L200" s="396">
        <f t="shared" si="321"/>
        <v>0.37</v>
      </c>
      <c r="M200" s="396">
        <f t="shared" si="321"/>
        <v>0.37</v>
      </c>
      <c r="N200" s="183"/>
      <c r="O200" s="183"/>
      <c r="Q200" s="102"/>
    </row>
    <row r="201" spans="1:17" x14ac:dyDescent="0.25">
      <c r="A201" s="135" t="str">
        <f>IF(AND(B$6="Federal",B196="Contract College"),"   Contract (Federal) - Post Doc",IF(AND(B$6="Non-federal",B196="Contract College"),"   Contract (Non-federal) - Post Doc","   Endowed - Post Doc"))</f>
        <v xml:space="preserve">   Endowed - Post Doc</v>
      </c>
      <c r="B201" s="396">
        <f t="shared" ref="B201:M201" si="322">IF($B196="Endowed College",HLOOKUP(B$37,FringeAndIDCRates,4,FALSE),IF($B$6="Federal",HLOOKUP(B$37,FringeAndIDCRates,2,FALSE),IF($B$6="Non-Federal",HLOOKUP(B$37,FringeAndIDCRates,3,FALSE))))</f>
        <v>0.35</v>
      </c>
      <c r="C201" s="396">
        <f t="shared" si="322"/>
        <v>0.35</v>
      </c>
      <c r="D201" s="396">
        <f t="shared" si="322"/>
        <v>0.35499999999999998</v>
      </c>
      <c r="E201" s="396">
        <f t="shared" si="322"/>
        <v>0.37</v>
      </c>
      <c r="F201" s="396">
        <f t="shared" si="322"/>
        <v>0.37</v>
      </c>
      <c r="G201" s="396">
        <f t="shared" si="322"/>
        <v>0.37</v>
      </c>
      <c r="H201" s="396">
        <f t="shared" si="322"/>
        <v>0.37</v>
      </c>
      <c r="I201" s="396">
        <f t="shared" si="322"/>
        <v>0.37</v>
      </c>
      <c r="J201" s="396">
        <f t="shared" si="322"/>
        <v>0.37</v>
      </c>
      <c r="K201" s="396">
        <f t="shared" si="322"/>
        <v>0.37</v>
      </c>
      <c r="L201" s="396">
        <f t="shared" si="322"/>
        <v>0.37</v>
      </c>
      <c r="M201" s="396">
        <f t="shared" si="322"/>
        <v>0.37</v>
      </c>
      <c r="N201" s="183"/>
      <c r="O201" s="183"/>
      <c r="Q201" s="102"/>
    </row>
    <row r="202" spans="1:17" x14ac:dyDescent="0.25">
      <c r="A202" s="135" t="str">
        <f>IF(AND(B$6="Federal",B197="Contract College"),"   Contract (Federal) - Other Employee",IF(AND(B$6="Non-federal",B197="Contract College"),"   Contract (Non-federal) - Other Empolyee","   Endowed - Other Employee"))</f>
        <v xml:space="preserve">   Endowed - Other Employee</v>
      </c>
      <c r="B202" s="396">
        <f t="shared" ref="B202:M202" si="323">IF($B197="Endowed College",HLOOKUP(B$37,FringeAndIDCRates,4,FALSE),IF($B$6="Federal",HLOOKUP(B$37,FringeAndIDCRates,2,FALSE),IF($B$6="Non-Federal",HLOOKUP(B$37,FringeAndIDCRates,3,FALSE))))</f>
        <v>0.35</v>
      </c>
      <c r="C202" s="396">
        <f t="shared" si="323"/>
        <v>0.35</v>
      </c>
      <c r="D202" s="396">
        <f t="shared" si="323"/>
        <v>0.35499999999999998</v>
      </c>
      <c r="E202" s="396">
        <f t="shared" si="323"/>
        <v>0.37</v>
      </c>
      <c r="F202" s="396">
        <f t="shared" si="323"/>
        <v>0.37</v>
      </c>
      <c r="G202" s="396">
        <f t="shared" si="323"/>
        <v>0.37</v>
      </c>
      <c r="H202" s="396">
        <f t="shared" si="323"/>
        <v>0.37</v>
      </c>
      <c r="I202" s="396">
        <f t="shared" si="323"/>
        <v>0.37</v>
      </c>
      <c r="J202" s="396">
        <f t="shared" si="323"/>
        <v>0.37</v>
      </c>
      <c r="K202" s="396">
        <f t="shared" si="323"/>
        <v>0.37</v>
      </c>
      <c r="L202" s="396">
        <f t="shared" si="323"/>
        <v>0.37</v>
      </c>
      <c r="M202" s="396">
        <f t="shared" si="323"/>
        <v>0.37</v>
      </c>
      <c r="N202" s="183"/>
      <c r="O202" s="183"/>
      <c r="Q202" s="102"/>
    </row>
    <row r="203" spans="1:17" x14ac:dyDescent="0.25">
      <c r="A203" s="135" t="str">
        <f>CONCATENATE("Cornell IDC Rate - ",B193)</f>
        <v>Cornell IDC Rate - Endowed College</v>
      </c>
      <c r="B203" s="396">
        <f t="shared" ref="B203:M203" si="324">IF($B194="Off",(HLOOKUP(B$37,FringeAndIDCRates,8,FALSE)),IF(AND($B$7="Other",$B194="On"),(HLOOKUP(B$37,FringeAndIDCRates,7,FALSE)),IF(AND($B194="On",$B193="Contract College",$B$7="Research"),(HLOOKUP(B$37,FringeAndIDCRates,5,FALSE)),(HLOOKUP(B$37,FringeAndIDCRates,6,FALSE)))))</f>
        <v>0.64</v>
      </c>
      <c r="C203" s="396">
        <f t="shared" si="324"/>
        <v>0.64</v>
      </c>
      <c r="D203" s="396">
        <f t="shared" si="324"/>
        <v>0.64</v>
      </c>
      <c r="E203" s="396">
        <f t="shared" si="324"/>
        <v>0.64</v>
      </c>
      <c r="F203" s="396">
        <f t="shared" si="324"/>
        <v>0.64</v>
      </c>
      <c r="G203" s="396">
        <f t="shared" si="324"/>
        <v>0.64</v>
      </c>
      <c r="H203" s="396">
        <f t="shared" si="324"/>
        <v>0.64</v>
      </c>
      <c r="I203" s="396">
        <f t="shared" si="324"/>
        <v>0.64</v>
      </c>
      <c r="J203" s="396">
        <f t="shared" si="324"/>
        <v>0.64</v>
      </c>
      <c r="K203" s="396">
        <f t="shared" si="324"/>
        <v>0.64</v>
      </c>
      <c r="L203" s="396">
        <f t="shared" si="324"/>
        <v>0.64</v>
      </c>
      <c r="M203" s="396">
        <f t="shared" si="324"/>
        <v>0.64</v>
      </c>
      <c r="N203" s="183"/>
      <c r="O203" s="183"/>
      <c r="Q203" s="102"/>
    </row>
    <row r="204" spans="1:17" x14ac:dyDescent="0.25">
      <c r="A204" s="135" t="str">
        <f>IF($B$8="Yes","","Rate Allowed by Sponsor:")</f>
        <v/>
      </c>
      <c r="B204" s="184" t="str">
        <f t="shared" ref="B204:M204" si="325">IF($B$8="Yes","",IF($B$8="No",HLOOKUP(B$37,FringeAndIDCRates,9,FALSE),(HLOOKUP(B$37,FringeAndIDCRates,9,FALSE))))</f>
        <v/>
      </c>
      <c r="C204" s="184" t="str">
        <f t="shared" si="325"/>
        <v/>
      </c>
      <c r="D204" s="184" t="str">
        <f t="shared" si="325"/>
        <v/>
      </c>
      <c r="E204" s="184" t="str">
        <f t="shared" si="325"/>
        <v/>
      </c>
      <c r="F204" s="184" t="str">
        <f t="shared" si="325"/>
        <v/>
      </c>
      <c r="G204" s="184" t="str">
        <f t="shared" si="325"/>
        <v/>
      </c>
      <c r="H204" s="184" t="str">
        <f t="shared" si="325"/>
        <v/>
      </c>
      <c r="I204" s="184" t="str">
        <f t="shared" si="325"/>
        <v/>
      </c>
      <c r="J204" s="184" t="str">
        <f t="shared" si="325"/>
        <v/>
      </c>
      <c r="K204" s="184" t="str">
        <f t="shared" si="325"/>
        <v/>
      </c>
      <c r="L204" s="184" t="str">
        <f t="shared" si="325"/>
        <v/>
      </c>
      <c r="M204" s="184" t="str">
        <f t="shared" si="325"/>
        <v/>
      </c>
      <c r="N204" s="237"/>
      <c r="O204" s="237"/>
      <c r="Q204" s="102"/>
    </row>
    <row r="205" spans="1:17" x14ac:dyDescent="0.25">
      <c r="B205" s="53"/>
      <c r="C205" s="53"/>
      <c r="D205" s="53"/>
      <c r="E205" s="53"/>
      <c r="F205" s="53"/>
      <c r="G205" s="53"/>
      <c r="H205" s="53"/>
    </row>
    <row r="206" spans="1:17" ht="20.25" x14ac:dyDescent="0.3">
      <c r="A206" s="40" t="s">
        <v>55</v>
      </c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</row>
    <row r="207" spans="1:17" ht="15.75" x14ac:dyDescent="0.25">
      <c r="A207" s="105" t="s">
        <v>87</v>
      </c>
      <c r="B207" s="106" t="str">
        <f>IF(B210=$AE$5,$AE$8,IF(B210=$AF$5,$AF$8,IF(B210=$AG$5,$AG$8,IF(B210=$AH$5,$AH$8,IF(B210=$AI$5,$AI$8,IF(B210=$AJ$5,$AJ$8,IF(B210=$AK$5,$AK$8,IF(B210=$AL$5,$AL$8,IF(B210=$AM$5,$AM$8,IF(B210=$AN$5,$AN$8,IF(B210=$AO$5,$AO$8,IF(B210=$AP$5,$AP$8," "))))))))))))</f>
        <v xml:space="preserve"> </v>
      </c>
      <c r="C207" s="106" t="str">
        <f t="shared" ref="C207:M207" si="326">IF(C210=$AE$5,$AE$8,IF(C210=$AF$5,$AF$8,IF(C210=$AG$5,$AG$8,IF(C210=$AH$5,$AH$8,IF(C210=$AI$5,$AI$8,IF(C210=$AJ$5,$AJ$8,IF(C210=$AK$5,$AK$8,IF(C210=$AL$5,$AL$8,IF(C210=$AM$5,$AM$8,IF(C210=$AN$5,$AN$8,IF(C210=$AO$5,$AO$8,IF(C210=$AP$5,$AP$8," "))))))))))))</f>
        <v>2025-2025</v>
      </c>
      <c r="D207" s="106" t="str">
        <f t="shared" si="326"/>
        <v>2026-2026</v>
      </c>
      <c r="E207" s="106" t="str">
        <f t="shared" si="326"/>
        <v>2027-2027</v>
      </c>
      <c r="F207" s="106" t="str">
        <f t="shared" si="326"/>
        <v>2028-2028</v>
      </c>
      <c r="G207" s="106" t="str">
        <f t="shared" si="326"/>
        <v>2029-2029</v>
      </c>
      <c r="H207" s="106" t="str">
        <f t="shared" si="326"/>
        <v>2030-2030</v>
      </c>
      <c r="I207" s="106" t="str">
        <f t="shared" si="326"/>
        <v>2031-2031</v>
      </c>
      <c r="J207" s="106" t="str">
        <f t="shared" si="326"/>
        <v>2032-2032</v>
      </c>
      <c r="K207" s="106" t="str">
        <f t="shared" si="326"/>
        <v>2033-2033</v>
      </c>
      <c r="L207" s="106" t="str">
        <f t="shared" si="326"/>
        <v>2034-2034</v>
      </c>
      <c r="M207" s="106" t="str">
        <f t="shared" si="326"/>
        <v>2035-2035</v>
      </c>
      <c r="N207" s="106" t="str">
        <f t="shared" ref="N207" si="327">IF(N210=$AE$5,$AE$8,IF(N210=$AF$5,$AF$8,IF(N210=$AG$5,$AG$8,IF(N210=$AH$5,$AH$8,IF(N210=$AI$5,$AI$8,IF(N210=$AJ$5,$AJ$8,IF(N210=$AK$5,$AK$8,IF(N210=$AL$5,$AL$8,IF(N210=$AM$5,$AM$8,IF(N210=$AN$5,$AN$8,IF(N210=$AO$5,$AO$8,IF(N210=$AP$5,$AP$8," "))))))))))))</f>
        <v>2036-2036</v>
      </c>
    </row>
    <row r="209" spans="1:23" x14ac:dyDescent="0.25">
      <c r="A209" s="169" t="str">
        <f>CONCATENATE("Calculation based on ",O211," month salary")</f>
        <v>Calculation based on 9 month salary</v>
      </c>
      <c r="B209" s="104" t="str">
        <f t="shared" ref="B209:L209" si="328">IF(AND(B210=$AE$5,$O211=9),$AE$3,IF(AND(B210=$AF$5,$O211=9),$AF$3,IF(AND(B210=$AG$5,$O211=9),$AG$3,IF(AND(B210=$AH$5,$O211=9),$AH$3,IF(AND(B210=$AI$5,$O211=9),$AI$3,IF(AND(B210=$AJ$5,$O211=9),$AJ$3,IF(AND(B210=$AK$5,$O211=9),$AK$3,IF(AND(B210=$AL$5,$O211=9),$AL$3,IF(AND(B210=$AM$5,$O211=9),$AM$3,IF(AND(B210=$AN$5,$O211=9),$AN$3,IF(AND(B210=$AO$5,$O211=9),$AO$3,IF(AND(B210=$AP$5,$O211=9),$AJ$3,IF(AND(B210=$AE$4,$O211=12),$AE$3,IF(AND(B210=$AF$4,$O211=12),$AF$3,IF(AND(B210=$AG$4,$O211=12),$AG$3,IF(AND(B210=$AH$4,$O211=12),$AH$3,IF(AND(B210=$AI$4,$O211=12),$AI$3,IF(AND(B210=$AJ$4,$O211=12),$AJ$3,IF(AND(B210=$AK$4,$O211=12),$AK$3,IF(AND(B210=$AL$4,$O211=12),$AL$3,IF(AND(B210=$AM$4,$O211=12),$AM$3,IF(AND(B210=$AN$4,$O211=12),$AN$3,IF(AND(B210=$AO$4,$O211=12),$AO$3,IF(AND(B210=$AP$4,$O211=12),$AJ$3," "))))))))))))))))))))))))</f>
        <v xml:space="preserve"> </v>
      </c>
      <c r="C209" s="104" t="str">
        <f t="shared" si="328"/>
        <v>Year 1</v>
      </c>
      <c r="D209" s="104" t="str">
        <f t="shared" si="328"/>
        <v>Year 2</v>
      </c>
      <c r="E209" s="104" t="str">
        <f t="shared" si="328"/>
        <v>Year 3</v>
      </c>
      <c r="F209" s="104" t="str">
        <f t="shared" si="328"/>
        <v>Year 4</v>
      </c>
      <c r="G209" s="104" t="str">
        <f t="shared" si="328"/>
        <v>Year 5</v>
      </c>
      <c r="H209" s="104" t="str">
        <f t="shared" si="328"/>
        <v>Year 6</v>
      </c>
      <c r="I209" s="104" t="str">
        <f t="shared" si="328"/>
        <v>Year 7</v>
      </c>
      <c r="J209" s="104" t="str">
        <f t="shared" si="328"/>
        <v>Year 8</v>
      </c>
      <c r="K209" s="104" t="str">
        <f t="shared" si="328"/>
        <v>Year 9</v>
      </c>
      <c r="L209" s="104" t="str">
        <f t="shared" si="328"/>
        <v>Year 10</v>
      </c>
      <c r="M209" s="104" t="str">
        <f>IF(AND(M210=$AE$5,$O211=9),$AE$3,IF(AND(M210=$AF$5,$O211=9),$AF$3,IF(AND(M210=$AG$5,$O211=9),$AG$3,IF(AND(M210=$AH$5,$O211=9),$AH$3,IF(AND(M210=$AI$5,$O211=9),$AI$3,IF(AND(M210=$AJ$5,$O211=9),$AJ$3,IF(AND(M210=$AK$5,$O211=9),$AK$3,IF(AND(M210=$AL$5,$O211=9),$AL$3,IF(AND(M210=$AM$5,$O211=9),$AM$3,IF(AND(M210=$AN$5,$O211=9),$AN$3,IF(AND(M210=$AO$5,$O211=9),$AO$3,IF(AND(M210=$AP$5,$O211=9),$AP$3,IF(AND(M210=$AQ$5,$O211=9),$AJ$3,IF(AND(M210=$AE$4,$O211=12),$AE$3,IF(AND(M210=$AF$4,$O211=12),$AF$3,IF(AND(M210=$AG$4,$O211=12),$AG$3,IF(AND(M210=$AH$4,$O211=12),$AH$3,IF(AND(M210=$AI$4,$O211=12),$AI$3,IF(AND(M210=$AJ$4,$O211=12),$AJ$3,IF(AND(M210=$AK$4,$O211=12),$AK$3,IF(AND(M210=$AL$4,$O211=12),$AL$3,IF(AND(M210=$AM$4,$O211=12),$AM$3,IF(AND(M210=$AN$4,$O211=12),$AN$3,IF(AND(M210=$AO$4,$O211=12),$AO$3,IF(AND(M210=$AP$4,$O211=12),$AP$3,IF(AND(M210=$AQ$4,$O211=12),$AJ$3," "))))))))))))))))))))))))))</f>
        <v>Year 11</v>
      </c>
      <c r="N209" s="104" t="str">
        <f>IF(AND(N210=$AE$5,$O211=9),$AE$3,IF(AND(N210=$AF$5,$O211=9),$AF$3,IF(AND(N210=$AG$5,$O211=9),$AG$3,IF(AND(N210=$AH$5,$O211=9),$AH$3,IF(AND(N210=$AI$5,$O211=9),$AI$3,IF(AND(N210=$AJ$5,$O211=9),$AJ$3,IF(AND(N210=$AK$5,$O211=9),$AK$3,IF(AND(N210=$AL$5,$O211=9),$AL$3,IF(AND(N210=$AM$5,$O211=9),$AM$3,IF(AND(N210=$AN$5,$O211=9),$AN$3,IF(AND(N210=$AO$5,$O211=9),$AO$3,IF(AND(N210=$AP$5,$O211=9),$AP$3,IF(AND(N210=$AQ$5,$O211=9),$AJ$3,IF(AND(N210=$AE$4,$O211=12),$AE$3,IF(AND(N210=$AF$4,$O211=12),$AF$3,IF(AND(N210=$AG$4,$O211=12),$AG$3,IF(AND(N210=$AH$4,$O211=12),$AH$3,IF(AND(N210=$AI$4,$O211=12),$AI$3,IF(AND(N210=$AJ$4,$O211=12),$AJ$3,IF(AND(N210=$AK$4,$O211=12),$AK$3,IF(AND(N210=$AL$4,$O211=12),$AL$3,IF(AND(N210=$AM$4,$O211=12),$AM$3,IF(AND(N210=$AN$4,$O211=12),$AN$3,IF(AND(N210=$AO$4,$O211=12),$AO$3,IF(AND(N210=$AP$4,$O211=12),$AP$3,IF(AND(N210=$AQ$4,$O211=12),$AJ$3," "))))))))))))))))))))))))))</f>
        <v>Year 12</v>
      </c>
    </row>
    <row r="210" spans="1:23" x14ac:dyDescent="0.25">
      <c r="A210" s="170" t="str">
        <f>+B190</f>
        <v>Co-PI</v>
      </c>
      <c r="B210" s="55" t="str">
        <f t="shared" ref="B210:I210" si="329">+N$2</f>
        <v>FY2025</v>
      </c>
      <c r="C210" s="55" t="str">
        <f t="shared" si="329"/>
        <v>FY2026</v>
      </c>
      <c r="D210" s="55" t="str">
        <f t="shared" si="329"/>
        <v>FY2027</v>
      </c>
      <c r="E210" s="55" t="str">
        <f t="shared" si="329"/>
        <v>FY2028</v>
      </c>
      <c r="F210" s="55" t="str">
        <f t="shared" si="329"/>
        <v>FY2029</v>
      </c>
      <c r="G210" s="55" t="str">
        <f t="shared" si="329"/>
        <v>FY2030</v>
      </c>
      <c r="H210" s="55" t="str">
        <f t="shared" si="329"/>
        <v>FY2031</v>
      </c>
      <c r="I210" s="55" t="str">
        <f t="shared" si="329"/>
        <v>FY2032</v>
      </c>
      <c r="J210" s="55" t="str">
        <f t="shared" ref="J210" si="330">+V$2</f>
        <v>FY2033</v>
      </c>
      <c r="K210" s="55" t="str">
        <f t="shared" ref="K210" si="331">+W$2</f>
        <v>FY2034</v>
      </c>
      <c r="L210" s="55" t="str">
        <f t="shared" ref="L210" si="332">+X$2</f>
        <v>FY2035</v>
      </c>
      <c r="M210" s="55" t="str">
        <f t="shared" ref="M210:N210" si="333">+Y$2</f>
        <v>FY2036</v>
      </c>
      <c r="N210" s="55" t="str">
        <f t="shared" si="333"/>
        <v>FY2037</v>
      </c>
      <c r="O210" s="32" t="s">
        <v>20</v>
      </c>
      <c r="P210" s="89"/>
      <c r="Q210" s="89"/>
    </row>
    <row r="211" spans="1:23" x14ac:dyDescent="0.25">
      <c r="A211" s="171" t="str">
        <f>CONCATENATE("Base Salary: ",O211," month term")</f>
        <v>Base Salary: 9 month term</v>
      </c>
      <c r="B211" s="383">
        <v>0</v>
      </c>
      <c r="C211" s="384">
        <f t="shared" ref="C211:N211" si="334">ROUND(+B211*(1+(HLOOKUP(C210,FringeAndIDCRates,10,FALSE))),0)</f>
        <v>0</v>
      </c>
      <c r="D211" s="384">
        <f t="shared" si="334"/>
        <v>0</v>
      </c>
      <c r="E211" s="384">
        <f t="shared" si="334"/>
        <v>0</v>
      </c>
      <c r="F211" s="384">
        <f t="shared" si="334"/>
        <v>0</v>
      </c>
      <c r="G211" s="384">
        <f t="shared" si="334"/>
        <v>0</v>
      </c>
      <c r="H211" s="384">
        <f t="shared" si="334"/>
        <v>0</v>
      </c>
      <c r="I211" s="384">
        <f t="shared" si="334"/>
        <v>0</v>
      </c>
      <c r="J211" s="384">
        <f t="shared" si="334"/>
        <v>0</v>
      </c>
      <c r="K211" s="384">
        <f t="shared" si="334"/>
        <v>0</v>
      </c>
      <c r="L211" s="384">
        <f t="shared" si="334"/>
        <v>0</v>
      </c>
      <c r="M211" s="384">
        <f t="shared" si="334"/>
        <v>0</v>
      </c>
      <c r="N211" s="384">
        <f t="shared" si="334"/>
        <v>0</v>
      </c>
      <c r="O211" s="310">
        <v>9</v>
      </c>
      <c r="P211" s="311"/>
      <c r="Q211" s="52"/>
    </row>
    <row r="212" spans="1:23" x14ac:dyDescent="0.25">
      <c r="A212" s="171" t="s">
        <v>44</v>
      </c>
      <c r="B212" s="312">
        <v>0</v>
      </c>
      <c r="C212" s="312">
        <v>0</v>
      </c>
      <c r="D212" s="312">
        <v>0</v>
      </c>
      <c r="E212" s="312">
        <v>0</v>
      </c>
      <c r="F212" s="312">
        <v>0</v>
      </c>
      <c r="G212" s="312">
        <v>0</v>
      </c>
      <c r="H212" s="312">
        <v>0</v>
      </c>
      <c r="I212" s="312">
        <v>0</v>
      </c>
      <c r="J212" s="312">
        <v>0</v>
      </c>
      <c r="K212" s="312">
        <v>0</v>
      </c>
      <c r="L212" s="312">
        <v>0</v>
      </c>
      <c r="M212" s="312">
        <v>0</v>
      </c>
      <c r="N212" s="312">
        <v>0</v>
      </c>
      <c r="O212" s="25"/>
      <c r="P212" s="25"/>
      <c r="Q212" s="25"/>
    </row>
    <row r="213" spans="1:23" x14ac:dyDescent="0.25">
      <c r="A213" s="171" t="str">
        <f>CONCATENATE("FTE for ",O211," Months")</f>
        <v>FTE for 9 Months</v>
      </c>
      <c r="B213" s="393">
        <f t="shared" ref="B213:M213" si="335">+B212/$O211</f>
        <v>0</v>
      </c>
      <c r="C213" s="393">
        <f t="shared" si="335"/>
        <v>0</v>
      </c>
      <c r="D213" s="393">
        <f t="shared" si="335"/>
        <v>0</v>
      </c>
      <c r="E213" s="393">
        <f t="shared" si="335"/>
        <v>0</v>
      </c>
      <c r="F213" s="393">
        <f t="shared" si="335"/>
        <v>0</v>
      </c>
      <c r="G213" s="393">
        <f t="shared" si="335"/>
        <v>0</v>
      </c>
      <c r="H213" s="393">
        <f t="shared" si="335"/>
        <v>0</v>
      </c>
      <c r="I213" s="393">
        <f t="shared" si="335"/>
        <v>0</v>
      </c>
      <c r="J213" s="393">
        <f t="shared" si="335"/>
        <v>0</v>
      </c>
      <c r="K213" s="393">
        <f t="shared" si="335"/>
        <v>0</v>
      </c>
      <c r="L213" s="393">
        <f t="shared" si="335"/>
        <v>0</v>
      </c>
      <c r="M213" s="393">
        <f t="shared" si="335"/>
        <v>0</v>
      </c>
      <c r="N213" s="393">
        <f t="shared" ref="N213" si="336">+N212/$O211</f>
        <v>0</v>
      </c>
      <c r="O213" s="89"/>
      <c r="P213" s="89"/>
      <c r="Q213" s="89"/>
    </row>
    <row r="214" spans="1:23" x14ac:dyDescent="0.25">
      <c r="A214" s="172" t="s">
        <v>56</v>
      </c>
      <c r="B214" s="394">
        <f t="shared" ref="B214:I214" si="337">+B212/12</f>
        <v>0</v>
      </c>
      <c r="C214" s="394">
        <f t="shared" si="337"/>
        <v>0</v>
      </c>
      <c r="D214" s="394">
        <f t="shared" si="337"/>
        <v>0</v>
      </c>
      <c r="E214" s="394">
        <f t="shared" si="337"/>
        <v>0</v>
      </c>
      <c r="F214" s="394">
        <f t="shared" si="337"/>
        <v>0</v>
      </c>
      <c r="G214" s="394">
        <f t="shared" si="337"/>
        <v>0</v>
      </c>
      <c r="H214" s="394">
        <f t="shared" ref="H214" si="338">+H212/12</f>
        <v>0</v>
      </c>
      <c r="I214" s="394">
        <f t="shared" si="337"/>
        <v>0</v>
      </c>
      <c r="J214" s="394">
        <f t="shared" ref="J214:L214" si="339">+J212/12</f>
        <v>0</v>
      </c>
      <c r="K214" s="394">
        <f t="shared" si="339"/>
        <v>0</v>
      </c>
      <c r="L214" s="394">
        <f t="shared" si="339"/>
        <v>0</v>
      </c>
      <c r="M214" s="394">
        <f t="shared" ref="M214:N214" si="340">+M212/12</f>
        <v>0</v>
      </c>
      <c r="N214" s="394">
        <f t="shared" si="340"/>
        <v>0</v>
      </c>
      <c r="O214" s="89"/>
      <c r="P214" s="89"/>
      <c r="Q214" s="89"/>
    </row>
    <row r="215" spans="1:23" x14ac:dyDescent="0.25">
      <c r="A215" s="171" t="s">
        <v>21</v>
      </c>
      <c r="B215" s="110">
        <f t="shared" ref="B215:K215" si="341">IF($O211=9,ROUND(B211*B213,0),IF($O211=12,ROUND((B211*B213*$Q$41)+(C211*B213*$Q$42),0),0))</f>
        <v>0</v>
      </c>
      <c r="C215" s="110">
        <f t="shared" si="341"/>
        <v>0</v>
      </c>
      <c r="D215" s="110">
        <f t="shared" si="341"/>
        <v>0</v>
      </c>
      <c r="E215" s="110">
        <f t="shared" si="341"/>
        <v>0</v>
      </c>
      <c r="F215" s="110">
        <f t="shared" si="341"/>
        <v>0</v>
      </c>
      <c r="G215" s="110">
        <f t="shared" si="341"/>
        <v>0</v>
      </c>
      <c r="H215" s="110">
        <f t="shared" si="341"/>
        <v>0</v>
      </c>
      <c r="I215" s="110">
        <f t="shared" si="341"/>
        <v>0</v>
      </c>
      <c r="J215" s="110">
        <f t="shared" si="341"/>
        <v>0</v>
      </c>
      <c r="K215" s="110">
        <f t="shared" si="341"/>
        <v>0</v>
      </c>
      <c r="L215" s="110">
        <f>IF($O211=9,ROUND(L211*L213,0),IF($O211=12,ROUND((L211*L213*$Q$41)+(N211*L213*$Q$42),0),0))</f>
        <v>0</v>
      </c>
      <c r="M215" s="110">
        <f>IF($O211=9,ROUND(M211*M213,0),IF($O211=12,ROUND((M211*M213*$Q$41)+(O211*M213*$Q$42),0),0))</f>
        <v>0</v>
      </c>
      <c r="N215" s="110">
        <f>IF($O211=9,ROUND(N211*N213,0),IF($O211=12,ROUND((N211*N213*$Q$41)+(P211*N213*$Q$42),0),0))</f>
        <v>0</v>
      </c>
      <c r="O215" s="89"/>
      <c r="P215" s="89"/>
      <c r="Q215" s="89"/>
    </row>
    <row r="216" spans="1:23" x14ac:dyDescent="0.25">
      <c r="A216" s="173"/>
      <c r="O216" s="89"/>
      <c r="P216" s="89"/>
      <c r="Q216" s="89"/>
    </row>
    <row r="217" spans="1:23" x14ac:dyDescent="0.25">
      <c r="A217" s="169" t="str">
        <f>CONCATENATE("Calculation based on ",O219," month salary")</f>
        <v>Calculation based on 9 month salary</v>
      </c>
      <c r="B217" s="104" t="str">
        <f t="shared" ref="B217:L217" si="342">IF(AND(B218=$AE$5,$O219=9),$AE$3,IF(AND(B218=$AF$5,$O219=9),$AF$3,IF(AND(B218=$AG$5,$O219=9),$AG$3,IF(AND(B218=$AH$5,$O219=9),$AH$3,IF(AND(B218=$AI$5,$O219=9),$AI$3,IF(AND(B218=$AJ$5,$O219=9),$AJ$3,IF(AND(B218=$AK$5,$O219=9),$AK$3,IF(AND(B218=$AL$5,$O219=9),$AL$3,IF(AND(B218=$AM$5,$O219=9),$AM$3,IF(AND(B218=$AN$5,$O219=9),$AN$3,IF(AND(B218=$AO$5,$O219=9),$AO$3,IF(AND(B218=$AP$5,$O219=9),$AJ$3,IF(AND(B218=$AE$4,$O219=12),$AE$3,IF(AND(B218=$AF$4,$O219=12),$AF$3,IF(AND(B218=$AG$4,$O219=12),$AG$3,IF(AND(B218=$AH$4,$O219=12),$AH$3,IF(AND(B218=$AI$4,$O219=12),$AI$3,IF(AND(B218=$AJ$4,$O219=12),$AJ$3,IF(AND(B218=$AK$4,$O219=12),$AK$3,IF(AND(B218=$AL$4,$O219=12),$AL$3,IF(AND(B218=$AM$4,$O219=12),$AM$3,IF(AND(B218=$AN$4,$O219=12),$AN$3,IF(AND(B218=$AO$4,$O219=12),$AO$3,IF(AND(B218=$AP$4,$O219=12),$AJ$3," "))))))))))))))))))))))))</f>
        <v xml:space="preserve"> </v>
      </c>
      <c r="C217" s="104" t="str">
        <f t="shared" si="342"/>
        <v>Year 1</v>
      </c>
      <c r="D217" s="104" t="str">
        <f t="shared" si="342"/>
        <v>Year 2</v>
      </c>
      <c r="E217" s="104" t="str">
        <f t="shared" si="342"/>
        <v>Year 3</v>
      </c>
      <c r="F217" s="104" t="str">
        <f t="shared" si="342"/>
        <v>Year 4</v>
      </c>
      <c r="G217" s="104" t="str">
        <f t="shared" si="342"/>
        <v>Year 5</v>
      </c>
      <c r="H217" s="104" t="str">
        <f t="shared" si="342"/>
        <v>Year 6</v>
      </c>
      <c r="I217" s="104" t="str">
        <f t="shared" si="342"/>
        <v>Year 7</v>
      </c>
      <c r="J217" s="104" t="str">
        <f t="shared" si="342"/>
        <v>Year 8</v>
      </c>
      <c r="K217" s="104" t="str">
        <f t="shared" si="342"/>
        <v>Year 9</v>
      </c>
      <c r="L217" s="104" t="str">
        <f t="shared" si="342"/>
        <v>Year 10</v>
      </c>
      <c r="M217" s="104" t="str">
        <f>IF(AND(M218=$AE$5,$O219=9),$AE$3,IF(AND(M218=$AF$5,$O219=9),$AF$3,IF(AND(M218=$AG$5,$O219=9),$AG$3,IF(AND(M218=$AH$5,$O219=9),$AH$3,IF(AND(M218=$AI$5,$O219=9),$AI$3,IF(AND(M218=$AJ$5,$O219=9),$AJ$3,IF(AND(M218=$AK$5,$O219=9),$AK$3,IF(AND(M218=$AL$5,$O219=9),$AL$3,IF(AND(M218=$AM$5,$O219=9),$AM$3,IF(AND(M218=$AN$5,$O219=9),$AN$3,IF(AND(M218=$AO$5,$O219=9),$AO$3,IF(AND(M218=$AP$5,$O219=9),$AP$3,IF(AND(M218=$AQ$5,$O219=9),$AJ$3,IF(AND(M218=$AE$4,$O219=12),$AE$3,IF(AND(M218=$AF$4,$O219=12),$AF$3,IF(AND(M218=$AG$4,$O219=12),$AG$3,IF(AND(M218=$AH$4,$O219=12),$AH$3,IF(AND(M218=$AI$4,$O219=12),$AI$3,IF(AND(M218=$AJ$4,$O219=12),$AJ$3,IF(AND(M218=$AK$4,$O219=12),$AK$3,IF(AND(M218=$AL$4,$O219=12),$AL$3,IF(AND(M218=$AM$4,$O219=12),$AM$3,IF(AND(M218=$AN$4,$O219=12),$AN$3,IF(AND(M218=$AO$4,$O219=12),$AO$3,IF(AND(M218=$AP$4,$O219=12),$AP$3,IF(AND(M218=$AQ$4,$O219=12),$AJ$3," "))))))))))))))))))))))))))</f>
        <v>Year 11</v>
      </c>
      <c r="N217" s="104" t="str">
        <f>IF(AND(N218=$AE$5,$O219=9),$AE$3,IF(AND(N218=$AF$5,$O219=9),$AF$3,IF(AND(N218=$AG$5,$O219=9),$AG$3,IF(AND(N218=$AH$5,$O219=9),$AH$3,IF(AND(N218=$AI$5,$O219=9),$AI$3,IF(AND(N218=$AJ$5,$O219=9),$AJ$3,IF(AND(N218=$AK$5,$O219=9),$AK$3,IF(AND(N218=$AL$5,$O219=9),$AL$3,IF(AND(N218=$AM$5,$O219=9),$AM$3,IF(AND(N218=$AN$5,$O219=9),$AN$3,IF(AND(N218=$AO$5,$O219=9),$AO$3,IF(AND(N218=$AP$5,$O219=9),$AP$3,IF(AND(N218=$AQ$5,$O219=9),$AJ$3,IF(AND(N218=$AE$4,$O219=12),$AE$3,IF(AND(N218=$AF$4,$O219=12),$AF$3,IF(AND(N218=$AG$4,$O219=12),$AG$3,IF(AND(N218=$AH$4,$O219=12),$AH$3,IF(AND(N218=$AI$4,$O219=12),$AI$3,IF(AND(N218=$AJ$4,$O219=12),$AJ$3,IF(AND(N218=$AK$4,$O219=12),$AK$3,IF(AND(N218=$AL$4,$O219=12),$AL$3,IF(AND(N218=$AM$4,$O219=12),$AM$3,IF(AND(N218=$AN$4,$O219=12),$AN$3,IF(AND(N218=$AO$4,$O219=12),$AO$3,IF(AND(N218=$AP$4,$O219=12),$AP$3,IF(AND(N218=$AQ$4,$O219=12),$AJ$3," "))))))))))))))))))))))))))</f>
        <v>Year 12</v>
      </c>
      <c r="O217" s="89"/>
      <c r="P217" s="89"/>
      <c r="Q217" s="89"/>
      <c r="V217" s="23"/>
    </row>
    <row r="218" spans="1:23" x14ac:dyDescent="0.25">
      <c r="A218" s="170" t="str">
        <f>+B191</f>
        <v>Co-PI</v>
      </c>
      <c r="B218" s="55" t="str">
        <f t="shared" ref="B218:I218" si="343">+N$2</f>
        <v>FY2025</v>
      </c>
      <c r="C218" s="55" t="str">
        <f t="shared" si="343"/>
        <v>FY2026</v>
      </c>
      <c r="D218" s="55" t="str">
        <f t="shared" si="343"/>
        <v>FY2027</v>
      </c>
      <c r="E218" s="55" t="str">
        <f t="shared" si="343"/>
        <v>FY2028</v>
      </c>
      <c r="F218" s="55" t="str">
        <f t="shared" si="343"/>
        <v>FY2029</v>
      </c>
      <c r="G218" s="55" t="str">
        <f t="shared" si="343"/>
        <v>FY2030</v>
      </c>
      <c r="H218" s="55" t="str">
        <f t="shared" si="343"/>
        <v>FY2031</v>
      </c>
      <c r="I218" s="55" t="str">
        <f t="shared" si="343"/>
        <v>FY2032</v>
      </c>
      <c r="J218" s="55" t="str">
        <f t="shared" ref="J218" si="344">+V$2</f>
        <v>FY2033</v>
      </c>
      <c r="K218" s="55" t="str">
        <f t="shared" ref="K218" si="345">+W$2</f>
        <v>FY2034</v>
      </c>
      <c r="L218" s="55" t="str">
        <f t="shared" ref="L218" si="346">+X$2</f>
        <v>FY2035</v>
      </c>
      <c r="M218" s="55" t="str">
        <f t="shared" ref="M218:N218" si="347">+Y$2</f>
        <v>FY2036</v>
      </c>
      <c r="N218" s="55" t="str">
        <f t="shared" si="347"/>
        <v>FY2037</v>
      </c>
      <c r="O218" s="32" t="s">
        <v>20</v>
      </c>
      <c r="P218" s="89"/>
      <c r="Q218" s="89"/>
      <c r="V218" s="23"/>
    </row>
    <row r="219" spans="1:23" x14ac:dyDescent="0.25">
      <c r="A219" s="171" t="str">
        <f>CONCATENATE("Base Salary: ",O219," month term")</f>
        <v>Base Salary: 9 month term</v>
      </c>
      <c r="B219" s="383">
        <v>0</v>
      </c>
      <c r="C219" s="384">
        <f t="shared" ref="C219:N219" si="348">ROUND(+B219*(1+(HLOOKUP(C218,FringeAndIDCRates,10,FALSE))),0)</f>
        <v>0</v>
      </c>
      <c r="D219" s="384">
        <f t="shared" si="348"/>
        <v>0</v>
      </c>
      <c r="E219" s="384">
        <f t="shared" si="348"/>
        <v>0</v>
      </c>
      <c r="F219" s="384">
        <f t="shared" si="348"/>
        <v>0</v>
      </c>
      <c r="G219" s="384">
        <f t="shared" si="348"/>
        <v>0</v>
      </c>
      <c r="H219" s="384">
        <f t="shared" si="348"/>
        <v>0</v>
      </c>
      <c r="I219" s="384">
        <f t="shared" si="348"/>
        <v>0</v>
      </c>
      <c r="J219" s="384">
        <f t="shared" si="348"/>
        <v>0</v>
      </c>
      <c r="K219" s="384">
        <f t="shared" si="348"/>
        <v>0</v>
      </c>
      <c r="L219" s="384">
        <f t="shared" si="348"/>
        <v>0</v>
      </c>
      <c r="M219" s="384">
        <f t="shared" si="348"/>
        <v>0</v>
      </c>
      <c r="N219" s="384">
        <f t="shared" si="348"/>
        <v>0</v>
      </c>
      <c r="O219" s="310">
        <v>9</v>
      </c>
      <c r="P219" s="311"/>
      <c r="Q219" s="52"/>
      <c r="V219" s="23"/>
    </row>
    <row r="220" spans="1:23" x14ac:dyDescent="0.25">
      <c r="A220" s="171" t="s">
        <v>44</v>
      </c>
      <c r="B220" s="312">
        <v>0</v>
      </c>
      <c r="C220" s="312">
        <v>0</v>
      </c>
      <c r="D220" s="312">
        <v>0</v>
      </c>
      <c r="E220" s="312">
        <v>0</v>
      </c>
      <c r="F220" s="312">
        <v>0</v>
      </c>
      <c r="G220" s="312">
        <v>0</v>
      </c>
      <c r="H220" s="312">
        <v>0</v>
      </c>
      <c r="I220" s="312">
        <v>0</v>
      </c>
      <c r="J220" s="312">
        <v>0</v>
      </c>
      <c r="K220" s="312">
        <v>0</v>
      </c>
      <c r="L220" s="312">
        <v>0</v>
      </c>
      <c r="M220" s="312">
        <v>0</v>
      </c>
      <c r="N220" s="312">
        <v>0</v>
      </c>
      <c r="O220" s="25"/>
      <c r="P220" s="25"/>
      <c r="Q220" s="25"/>
    </row>
    <row r="221" spans="1:23" x14ac:dyDescent="0.25">
      <c r="A221" s="171" t="str">
        <f>CONCATENATE("FTE for ",O219," Months")</f>
        <v>FTE for 9 Months</v>
      </c>
      <c r="B221" s="393">
        <f t="shared" ref="B221:M221" si="349">+B220/$O219</f>
        <v>0</v>
      </c>
      <c r="C221" s="393">
        <f t="shared" si="349"/>
        <v>0</v>
      </c>
      <c r="D221" s="393">
        <f t="shared" si="349"/>
        <v>0</v>
      </c>
      <c r="E221" s="393">
        <f t="shared" si="349"/>
        <v>0</v>
      </c>
      <c r="F221" s="393">
        <f t="shared" si="349"/>
        <v>0</v>
      </c>
      <c r="G221" s="393">
        <f t="shared" si="349"/>
        <v>0</v>
      </c>
      <c r="H221" s="393">
        <f t="shared" si="349"/>
        <v>0</v>
      </c>
      <c r="I221" s="393">
        <f t="shared" si="349"/>
        <v>0</v>
      </c>
      <c r="J221" s="393">
        <f t="shared" si="349"/>
        <v>0</v>
      </c>
      <c r="K221" s="393">
        <f t="shared" si="349"/>
        <v>0</v>
      </c>
      <c r="L221" s="393">
        <f t="shared" si="349"/>
        <v>0</v>
      </c>
      <c r="M221" s="393">
        <f t="shared" si="349"/>
        <v>0</v>
      </c>
      <c r="N221" s="393">
        <f t="shared" ref="N221" si="350">+N220/$O219</f>
        <v>0</v>
      </c>
      <c r="O221" s="89"/>
      <c r="P221" s="89"/>
      <c r="Q221" s="89"/>
    </row>
    <row r="222" spans="1:23" x14ac:dyDescent="0.25">
      <c r="A222" s="172" t="s">
        <v>56</v>
      </c>
      <c r="B222" s="394">
        <f>+B220/12</f>
        <v>0</v>
      </c>
      <c r="C222" s="394">
        <f>+C220/12</f>
        <v>0</v>
      </c>
      <c r="D222" s="394">
        <f t="shared" ref="D222:F222" si="351">+D220/12</f>
        <v>0</v>
      </c>
      <c r="E222" s="394">
        <f t="shared" si="351"/>
        <v>0</v>
      </c>
      <c r="F222" s="394">
        <f t="shared" si="351"/>
        <v>0</v>
      </c>
      <c r="G222" s="394">
        <f t="shared" ref="G222:L222" si="352">+G220/12</f>
        <v>0</v>
      </c>
      <c r="H222" s="394">
        <f t="shared" si="352"/>
        <v>0</v>
      </c>
      <c r="I222" s="394">
        <f t="shared" si="352"/>
        <v>0</v>
      </c>
      <c r="J222" s="394">
        <f t="shared" si="352"/>
        <v>0</v>
      </c>
      <c r="K222" s="394">
        <f t="shared" si="352"/>
        <v>0</v>
      </c>
      <c r="L222" s="394">
        <f t="shared" si="352"/>
        <v>0</v>
      </c>
      <c r="M222" s="394">
        <f t="shared" ref="M222:N222" si="353">+M220/12</f>
        <v>0</v>
      </c>
      <c r="N222" s="394">
        <f t="shared" si="353"/>
        <v>0</v>
      </c>
      <c r="O222" s="89"/>
      <c r="P222" s="89"/>
      <c r="Q222" s="89"/>
    </row>
    <row r="223" spans="1:23" x14ac:dyDescent="0.25">
      <c r="A223" s="171" t="s">
        <v>21</v>
      </c>
      <c r="B223" s="110">
        <f t="shared" ref="B223:K223" si="354">IF($O219=9,ROUND(B219*B221,0),IF($O219=12,ROUND((B219*B221*$Q$41)+(C219*B221*$Q$42),0),0))</f>
        <v>0</v>
      </c>
      <c r="C223" s="110">
        <f t="shared" si="354"/>
        <v>0</v>
      </c>
      <c r="D223" s="110">
        <f t="shared" si="354"/>
        <v>0</v>
      </c>
      <c r="E223" s="110">
        <f t="shared" si="354"/>
        <v>0</v>
      </c>
      <c r="F223" s="110">
        <f t="shared" si="354"/>
        <v>0</v>
      </c>
      <c r="G223" s="110">
        <f t="shared" si="354"/>
        <v>0</v>
      </c>
      <c r="H223" s="110">
        <f t="shared" si="354"/>
        <v>0</v>
      </c>
      <c r="I223" s="110">
        <f t="shared" si="354"/>
        <v>0</v>
      </c>
      <c r="J223" s="110">
        <f t="shared" si="354"/>
        <v>0</v>
      </c>
      <c r="K223" s="110">
        <f t="shared" si="354"/>
        <v>0</v>
      </c>
      <c r="L223" s="110">
        <f>IF($O219=9,ROUND(L219*L221,0),IF($O219=12,ROUND((L219*L221*$Q$41)+(N219*L221*$Q$42),0),0))</f>
        <v>0</v>
      </c>
      <c r="M223" s="110">
        <f>IF($O219=9,ROUND(M219*M221,0),IF($O219=12,ROUND((M219*M221*$Q$41)+(O219*M221*$Q$42),0),0))</f>
        <v>0</v>
      </c>
      <c r="N223" s="110">
        <f>IF($O219=9,ROUND(N219*N221,0),IF($O219=12,ROUND((N219*N221*$Q$41)+(P219*N221*$Q$42),0),0))</f>
        <v>0</v>
      </c>
      <c r="O223" s="89"/>
      <c r="P223" s="89"/>
      <c r="Q223" s="89"/>
    </row>
    <row r="224" spans="1:23" x14ac:dyDescent="0.25">
      <c r="A224" s="171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89"/>
      <c r="P224" s="89"/>
      <c r="Q224" s="89"/>
      <c r="R224" s="26"/>
      <c r="S224" s="23"/>
      <c r="T224" s="23"/>
      <c r="U224" s="23"/>
      <c r="V224" s="23"/>
      <c r="W224" s="23"/>
    </row>
    <row r="225" spans="1:33" x14ac:dyDescent="0.25">
      <c r="A225" s="169" t="str">
        <f>CONCATENATE("Calculation based on ",O227," month salary")</f>
        <v>Calculation based on 9 month salary</v>
      </c>
      <c r="B225" s="104" t="str">
        <f t="shared" ref="B225:L225" si="355">IF(AND(B226=$AE$5,$O227=9),$AE$3,IF(AND(B226=$AF$5,$O227=9),$AF$3,IF(AND(B226=$AG$5,$O227=9),$AG$3,IF(AND(B226=$AH$5,$O227=9),$AH$3,IF(AND(B226=$AI$5,$O227=9),$AI$3,IF(AND(B226=$AJ$5,$O227=9),$AJ$3,IF(AND(B226=$AK$5,$O227=9),$AK$3,IF(AND(B226=$AL$5,$O227=9),$AL$3,IF(AND(B226=$AM$5,$O227=9),$AM$3,IF(AND(B226=$AN$5,$O227=9),$AN$3,IF(AND(B226=$AO$5,$O227=9),$AO$3,IF(AND(B226=$AP$5,$O227=9),$AJ$3,IF(AND(B226=$AE$4,$O227=12),$AE$3,IF(AND(B226=$AF$4,$O227=12),$AF$3,IF(AND(B226=$AG$4,$O227=12),$AG$3,IF(AND(B226=$AH$4,$O227=12),$AH$3,IF(AND(B226=$AI$4,$O227=12),$AI$3,IF(AND(B226=$AJ$4,$O227=12),$AJ$3,IF(AND(B226=$AK$4,$O227=12),$AK$3,IF(AND(B226=$AL$4,$O227=12),$AL$3,IF(AND(B226=$AM$4,$O227=12),$AM$3,IF(AND(B226=$AN$4,$O227=12),$AN$3,IF(AND(B226=$AO$4,$O227=12),$AO$3,IF(AND(B226=$AP$4,$O227=12),$AJ$3," "))))))))))))))))))))))))</f>
        <v xml:space="preserve"> </v>
      </c>
      <c r="C225" s="104" t="str">
        <f t="shared" si="355"/>
        <v>Year 1</v>
      </c>
      <c r="D225" s="104" t="str">
        <f t="shared" si="355"/>
        <v>Year 2</v>
      </c>
      <c r="E225" s="104" t="str">
        <f t="shared" si="355"/>
        <v>Year 3</v>
      </c>
      <c r="F225" s="104" t="str">
        <f t="shared" si="355"/>
        <v>Year 4</v>
      </c>
      <c r="G225" s="104" t="str">
        <f t="shared" si="355"/>
        <v>Year 5</v>
      </c>
      <c r="H225" s="104" t="str">
        <f t="shared" si="355"/>
        <v>Year 6</v>
      </c>
      <c r="I225" s="104" t="str">
        <f t="shared" si="355"/>
        <v>Year 7</v>
      </c>
      <c r="J225" s="104" t="str">
        <f t="shared" si="355"/>
        <v>Year 8</v>
      </c>
      <c r="K225" s="104" t="str">
        <f t="shared" si="355"/>
        <v>Year 9</v>
      </c>
      <c r="L225" s="104" t="str">
        <f t="shared" si="355"/>
        <v>Year 10</v>
      </c>
      <c r="M225" s="104" t="str">
        <f>IF(AND(M226=$AE$5,$O227=9),$AE$3,IF(AND(M226=$AF$5,$O227=9),$AF$3,IF(AND(M226=$AG$5,$O227=9),$AG$3,IF(AND(M226=$AH$5,$O227=9),$AH$3,IF(AND(M226=$AI$5,$O227=9),$AI$3,IF(AND(M226=$AJ$5,$O227=9),$AJ$3,IF(AND(M226=$AK$5,$O227=9),$AK$3,IF(AND(M226=$AL$5,$O227=9),$AL$3,IF(AND(M226=$AM$5,$O227=9),$AM$3,IF(AND(M226=$AN$5,$O227=9),$AN$3,IF(AND(M226=$AO$5,$O227=9),$AO$3,IF(AND(M226=$AP$5,$O227=9),$AP$3,IF(AND(M226=$AQ$5,$O227=9),$AJ$3,IF(AND(M226=$AE$4,$O227=12),$AE$3,IF(AND(M226=$AF$4,$O227=12),$AF$3,IF(AND(M226=$AG$4,$O227=12),$AG$3,IF(AND(M226=$AH$4,$O227=12),$AH$3,IF(AND(M226=$AI$4,$O227=12),$AI$3,IF(AND(M226=$AJ$4,$O227=12),$AJ$3,IF(AND(M226=$AK$4,$O227=12),$AK$3,IF(AND(M226=$AL$4,$O227=12),$AL$3,IF(AND(M226=$AM$4,$O227=12),$AM$3,IF(AND(M226=$AN$4,$O227=12),$AN$3,IF(AND(M226=$AO$4,$O227=12),$AO$3,IF(AND(M226=$AP$4,$O227=12),$AP$3,IF(AND(M226=$AQ$4,$O227=12),$AJ$3," "))))))))))))))))))))))))))</f>
        <v>Year 11</v>
      </c>
      <c r="N225" s="104" t="str">
        <f>IF(AND(N226=$AE$5,$O227=9),$AE$3,IF(AND(N226=$AF$5,$O227=9),$AF$3,IF(AND(N226=$AG$5,$O227=9),$AG$3,IF(AND(N226=$AH$5,$O227=9),$AH$3,IF(AND(N226=$AI$5,$O227=9),$AI$3,IF(AND(N226=$AJ$5,$O227=9),$AJ$3,IF(AND(N226=$AK$5,$O227=9),$AK$3,IF(AND(N226=$AL$5,$O227=9),$AL$3,IF(AND(N226=$AM$5,$O227=9),$AM$3,IF(AND(N226=$AN$5,$O227=9),$AN$3,IF(AND(N226=$AO$5,$O227=9),$AO$3,IF(AND(N226=$AP$5,$O227=9),$AP$3,IF(AND(N226=$AQ$5,$O227=9),$AJ$3,IF(AND(N226=$AE$4,$O227=12),$AE$3,IF(AND(N226=$AF$4,$O227=12),$AF$3,IF(AND(N226=$AG$4,$O227=12),$AG$3,IF(AND(N226=$AH$4,$O227=12),$AH$3,IF(AND(N226=$AI$4,$O227=12),$AI$3,IF(AND(N226=$AJ$4,$O227=12),$AJ$3,IF(AND(N226=$AK$4,$O227=12),$AK$3,IF(AND(N226=$AL$4,$O227=12),$AL$3,IF(AND(N226=$AM$4,$O227=12),$AM$3,IF(AND(N226=$AN$4,$O227=12),$AN$3,IF(AND(N226=$AO$4,$O227=12),$AO$3,IF(AND(N226=$AP$4,$O227=12),$AP$3,IF(AND(N226=$AQ$4,$O227=12),$AJ$3," "))))))))))))))))))))))))))</f>
        <v>Year 12</v>
      </c>
      <c r="O225" s="89"/>
      <c r="P225" s="89"/>
      <c r="Q225" s="89"/>
    </row>
    <row r="226" spans="1:33" x14ac:dyDescent="0.25">
      <c r="A226" s="170" t="str">
        <f>+B192</f>
        <v>Co-PI</v>
      </c>
      <c r="B226" s="55" t="str">
        <f t="shared" ref="B226:I226" si="356">+N$2</f>
        <v>FY2025</v>
      </c>
      <c r="C226" s="55" t="str">
        <f t="shared" si="356"/>
        <v>FY2026</v>
      </c>
      <c r="D226" s="55" t="str">
        <f t="shared" si="356"/>
        <v>FY2027</v>
      </c>
      <c r="E226" s="55" t="str">
        <f t="shared" si="356"/>
        <v>FY2028</v>
      </c>
      <c r="F226" s="55" t="str">
        <f t="shared" si="356"/>
        <v>FY2029</v>
      </c>
      <c r="G226" s="55" t="str">
        <f t="shared" si="356"/>
        <v>FY2030</v>
      </c>
      <c r="H226" s="55" t="str">
        <f t="shared" si="356"/>
        <v>FY2031</v>
      </c>
      <c r="I226" s="55" t="str">
        <f t="shared" si="356"/>
        <v>FY2032</v>
      </c>
      <c r="J226" s="55" t="str">
        <f t="shared" ref="J226" si="357">+V$2</f>
        <v>FY2033</v>
      </c>
      <c r="K226" s="55" t="str">
        <f t="shared" ref="K226" si="358">+W$2</f>
        <v>FY2034</v>
      </c>
      <c r="L226" s="55" t="str">
        <f t="shared" ref="L226" si="359">+X$2</f>
        <v>FY2035</v>
      </c>
      <c r="M226" s="55" t="str">
        <f t="shared" ref="M226:N226" si="360">+Y$2</f>
        <v>FY2036</v>
      </c>
      <c r="N226" s="55" t="str">
        <f t="shared" si="360"/>
        <v>FY2037</v>
      </c>
      <c r="O226" s="32" t="s">
        <v>20</v>
      </c>
      <c r="P226" s="89"/>
      <c r="Q226" s="89"/>
    </row>
    <row r="227" spans="1:33" x14ac:dyDescent="0.25">
      <c r="A227" s="171" t="str">
        <f>CONCATENATE("Base Salary: ",O227," month term")</f>
        <v>Base Salary: 9 month term</v>
      </c>
      <c r="B227" s="383">
        <v>0</v>
      </c>
      <c r="C227" s="384">
        <f t="shared" ref="C227:N227" si="361">ROUND(+B227*(1+(HLOOKUP(C226,FringeAndIDCRates,10,FALSE))),0)</f>
        <v>0</v>
      </c>
      <c r="D227" s="384">
        <f t="shared" si="361"/>
        <v>0</v>
      </c>
      <c r="E227" s="384">
        <f t="shared" si="361"/>
        <v>0</v>
      </c>
      <c r="F227" s="384">
        <f t="shared" si="361"/>
        <v>0</v>
      </c>
      <c r="G227" s="384">
        <f t="shared" si="361"/>
        <v>0</v>
      </c>
      <c r="H227" s="384">
        <f t="shared" si="361"/>
        <v>0</v>
      </c>
      <c r="I227" s="384">
        <f t="shared" si="361"/>
        <v>0</v>
      </c>
      <c r="J227" s="384">
        <f t="shared" si="361"/>
        <v>0</v>
      </c>
      <c r="K227" s="384">
        <f t="shared" si="361"/>
        <v>0</v>
      </c>
      <c r="L227" s="384">
        <f t="shared" si="361"/>
        <v>0</v>
      </c>
      <c r="M227" s="384">
        <f t="shared" si="361"/>
        <v>0</v>
      </c>
      <c r="N227" s="384">
        <f t="shared" si="361"/>
        <v>0</v>
      </c>
      <c r="O227" s="310">
        <v>9</v>
      </c>
      <c r="P227" s="311"/>
      <c r="Q227" s="52"/>
    </row>
    <row r="228" spans="1:33" x14ac:dyDescent="0.25">
      <c r="A228" s="171" t="s">
        <v>44</v>
      </c>
      <c r="B228" s="312">
        <v>0</v>
      </c>
      <c r="C228" s="312">
        <v>0</v>
      </c>
      <c r="D228" s="312">
        <v>0</v>
      </c>
      <c r="E228" s="312">
        <v>0</v>
      </c>
      <c r="F228" s="312">
        <v>0</v>
      </c>
      <c r="G228" s="312">
        <v>0</v>
      </c>
      <c r="H228" s="312">
        <v>0</v>
      </c>
      <c r="I228" s="312">
        <v>0</v>
      </c>
      <c r="J228" s="312">
        <v>0</v>
      </c>
      <c r="K228" s="312">
        <v>0</v>
      </c>
      <c r="L228" s="312">
        <v>0</v>
      </c>
      <c r="M228" s="312">
        <v>0</v>
      </c>
      <c r="N228" s="312">
        <v>0</v>
      </c>
      <c r="O228" s="25"/>
      <c r="P228" s="25"/>
      <c r="Q228" s="186"/>
      <c r="R228" s="42" t="str">
        <f>+O$26</f>
        <v>Graduate Student (Stipend, Tuition, Health Ins)</v>
      </c>
    </row>
    <row r="229" spans="1:33" x14ac:dyDescent="0.25">
      <c r="A229" s="171" t="str">
        <f>CONCATENATE("FTE for ",O227," Months")</f>
        <v>FTE for 9 Months</v>
      </c>
      <c r="B229" s="393">
        <f t="shared" ref="B229:I229" si="362">+B228/$O227</f>
        <v>0</v>
      </c>
      <c r="C229" s="393">
        <f t="shared" si="362"/>
        <v>0</v>
      </c>
      <c r="D229" s="393">
        <f t="shared" si="362"/>
        <v>0</v>
      </c>
      <c r="E229" s="393">
        <f t="shared" si="362"/>
        <v>0</v>
      </c>
      <c r="F229" s="393">
        <f t="shared" si="362"/>
        <v>0</v>
      </c>
      <c r="G229" s="393">
        <f t="shared" si="362"/>
        <v>0</v>
      </c>
      <c r="H229" s="393">
        <f t="shared" si="362"/>
        <v>0</v>
      </c>
      <c r="I229" s="393">
        <f t="shared" si="362"/>
        <v>0</v>
      </c>
      <c r="J229" s="393">
        <f t="shared" ref="J229:M229" si="363">+J228/$O227</f>
        <v>0</v>
      </c>
      <c r="K229" s="393">
        <f t="shared" si="363"/>
        <v>0</v>
      </c>
      <c r="L229" s="393">
        <f t="shared" si="363"/>
        <v>0</v>
      </c>
      <c r="M229" s="393">
        <f t="shared" si="363"/>
        <v>0</v>
      </c>
      <c r="N229" s="393">
        <f t="shared" ref="N229" si="364">+N228/$O227</f>
        <v>0</v>
      </c>
      <c r="O229" s="89"/>
      <c r="P229" s="89"/>
      <c r="Q229" s="186"/>
      <c r="R229" s="25"/>
      <c r="S229" s="113" t="str">
        <f>+$P$30</f>
        <v>FY2025</v>
      </c>
      <c r="T229" s="113" t="str">
        <f>+$Q$30</f>
        <v>FY2026</v>
      </c>
      <c r="U229" s="113" t="str">
        <f>+$R$30</f>
        <v>FY2027</v>
      </c>
      <c r="V229" s="113" t="str">
        <f>+$S$30</f>
        <v>FY2028</v>
      </c>
      <c r="W229" s="113" t="str">
        <f>+$T$30</f>
        <v>FY2029</v>
      </c>
      <c r="X229" s="113" t="str">
        <f>+$U$30</f>
        <v>FY2030</v>
      </c>
      <c r="Y229" s="113" t="str">
        <f>+$V$30</f>
        <v>FY2031</v>
      </c>
      <c r="Z229" s="113" t="str">
        <f>+$W$30</f>
        <v>FY2032</v>
      </c>
      <c r="AA229" s="113" t="str">
        <f>+$X$30</f>
        <v>FY2033</v>
      </c>
      <c r="AB229" s="113" t="str">
        <f>+$Y$30</f>
        <v>FY2034</v>
      </c>
      <c r="AC229" s="113" t="str">
        <f>+$Z$30</f>
        <v>FY2035</v>
      </c>
      <c r="AD229" s="113" t="str">
        <f>+$AA$30</f>
        <v>FY2036</v>
      </c>
      <c r="AE229" s="113" t="str">
        <f>+$AB$30</f>
        <v>FY2037</v>
      </c>
      <c r="AF229" s="114" t="s">
        <v>101</v>
      </c>
    </row>
    <row r="230" spans="1:33" x14ac:dyDescent="0.25">
      <c r="A230" s="172" t="s">
        <v>56</v>
      </c>
      <c r="B230" s="394">
        <f>+B228/12</f>
        <v>0</v>
      </c>
      <c r="C230" s="394">
        <f>+C228/12</f>
        <v>0</v>
      </c>
      <c r="D230" s="394">
        <f t="shared" ref="D230:G230" si="365">+D228/12</f>
        <v>0</v>
      </c>
      <c r="E230" s="394">
        <f t="shared" si="365"/>
        <v>0</v>
      </c>
      <c r="F230" s="394">
        <f t="shared" si="365"/>
        <v>0</v>
      </c>
      <c r="G230" s="394">
        <f t="shared" si="365"/>
        <v>0</v>
      </c>
      <c r="H230" s="394">
        <f t="shared" ref="H230:I230" si="366">+H228/12</f>
        <v>0</v>
      </c>
      <c r="I230" s="394">
        <f t="shared" si="366"/>
        <v>0</v>
      </c>
      <c r="J230" s="394">
        <f t="shared" ref="J230:M230" si="367">+J228/12</f>
        <v>0</v>
      </c>
      <c r="K230" s="394">
        <f t="shared" si="367"/>
        <v>0</v>
      </c>
      <c r="L230" s="394">
        <f t="shared" si="367"/>
        <v>0</v>
      </c>
      <c r="M230" s="394">
        <f t="shared" si="367"/>
        <v>0</v>
      </c>
      <c r="N230" s="394">
        <f t="shared" ref="N230" si="368">+N228/12</f>
        <v>0</v>
      </c>
      <c r="O230" s="89"/>
      <c r="P230" s="89"/>
      <c r="Q230" s="186"/>
      <c r="R230" s="30" t="s">
        <v>35</v>
      </c>
      <c r="S230" s="101">
        <f>+$P$31</f>
        <v>33930</v>
      </c>
      <c r="T230" s="101">
        <f>IF(ROUND(S230*(1+$AF230),0)=$Q$31,ROUND(S230*(1+$AF230),0),$Q$31)</f>
        <v>35627</v>
      </c>
      <c r="U230" s="101">
        <f t="shared" ref="U230:AE230" si="369">ROUND(T230*(1+$AF230),0)</f>
        <v>37408</v>
      </c>
      <c r="V230" s="101">
        <f t="shared" si="369"/>
        <v>39278</v>
      </c>
      <c r="W230" s="101">
        <f t="shared" si="369"/>
        <v>41242</v>
      </c>
      <c r="X230" s="101">
        <f t="shared" si="369"/>
        <v>43304</v>
      </c>
      <c r="Y230" s="101">
        <f t="shared" si="369"/>
        <v>45469</v>
      </c>
      <c r="Z230" s="101">
        <f t="shared" si="369"/>
        <v>47742</v>
      </c>
      <c r="AA230" s="101">
        <f t="shared" si="369"/>
        <v>50129</v>
      </c>
      <c r="AB230" s="101">
        <f t="shared" si="369"/>
        <v>52635</v>
      </c>
      <c r="AC230" s="101">
        <f t="shared" si="369"/>
        <v>55267</v>
      </c>
      <c r="AD230" s="101">
        <f t="shared" si="369"/>
        <v>58030</v>
      </c>
      <c r="AE230" s="101">
        <f t="shared" si="369"/>
        <v>60932</v>
      </c>
      <c r="AF230" s="31">
        <v>0.05</v>
      </c>
    </row>
    <row r="231" spans="1:33" x14ac:dyDescent="0.25">
      <c r="A231" s="171" t="s">
        <v>21</v>
      </c>
      <c r="B231" s="110">
        <f t="shared" ref="B231:I231" si="370">IF($O227=9,ROUND(B227*B229,0),IF($O227=12,ROUND((B227*B229*$Q$41)+(C227*B229*$Q$42),0),0))</f>
        <v>0</v>
      </c>
      <c r="C231" s="110">
        <f t="shared" si="370"/>
        <v>0</v>
      </c>
      <c r="D231" s="110">
        <f t="shared" si="370"/>
        <v>0</v>
      </c>
      <c r="E231" s="110">
        <f t="shared" si="370"/>
        <v>0</v>
      </c>
      <c r="F231" s="110">
        <f t="shared" si="370"/>
        <v>0</v>
      </c>
      <c r="G231" s="110">
        <f t="shared" si="370"/>
        <v>0</v>
      </c>
      <c r="H231" s="110">
        <f t="shared" si="370"/>
        <v>0</v>
      </c>
      <c r="I231" s="110">
        <f t="shared" si="370"/>
        <v>0</v>
      </c>
      <c r="J231" s="110">
        <f t="shared" ref="J231:N231" si="371">IF($O227=9,ROUND(J227*J229,0),IF($O227=12,ROUND((J227*J229*$Q$41)+(K227*J229*$Q$42),0),0))</f>
        <v>0</v>
      </c>
      <c r="K231" s="110">
        <f t="shared" si="371"/>
        <v>0</v>
      </c>
      <c r="L231" s="110">
        <f t="shared" si="371"/>
        <v>0</v>
      </c>
      <c r="M231" s="110">
        <f t="shared" si="371"/>
        <v>0</v>
      </c>
      <c r="N231" s="110">
        <f t="shared" si="371"/>
        <v>0</v>
      </c>
      <c r="O231" s="89"/>
      <c r="P231" s="89"/>
      <c r="Q231" s="186"/>
      <c r="R231" s="30" t="s">
        <v>23</v>
      </c>
      <c r="S231" s="101">
        <f>+$P$32</f>
        <v>11310</v>
      </c>
      <c r="T231" s="101">
        <f>IF(ROUND(S231*(1+$AF231),0)=$Q$32,ROUND(S231*(1+$AF231),0),$Q$32)</f>
        <v>11876</v>
      </c>
      <c r="U231" s="101">
        <f t="shared" ref="U231:AE231" si="372">ROUND(T231*(1+$AF231),0)</f>
        <v>12470</v>
      </c>
      <c r="V231" s="101">
        <f t="shared" si="372"/>
        <v>13094</v>
      </c>
      <c r="W231" s="101">
        <f t="shared" si="372"/>
        <v>13749</v>
      </c>
      <c r="X231" s="101">
        <f t="shared" si="372"/>
        <v>14436</v>
      </c>
      <c r="Y231" s="101">
        <f t="shared" si="372"/>
        <v>15158</v>
      </c>
      <c r="Z231" s="101">
        <f t="shared" si="372"/>
        <v>15916</v>
      </c>
      <c r="AA231" s="101">
        <f t="shared" si="372"/>
        <v>16712</v>
      </c>
      <c r="AB231" s="101">
        <f t="shared" si="372"/>
        <v>17548</v>
      </c>
      <c r="AC231" s="101">
        <f t="shared" si="372"/>
        <v>18425</v>
      </c>
      <c r="AD231" s="101">
        <f t="shared" si="372"/>
        <v>19346</v>
      </c>
      <c r="AE231" s="101">
        <f t="shared" si="372"/>
        <v>20313</v>
      </c>
      <c r="AF231" s="66">
        <v>0.05</v>
      </c>
    </row>
    <row r="232" spans="1:33" x14ac:dyDescent="0.25">
      <c r="A232" s="171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89"/>
      <c r="P232" s="89"/>
      <c r="Q232" s="186"/>
      <c r="R232" s="30" t="s">
        <v>30</v>
      </c>
      <c r="S232" s="101">
        <f>+$P$33</f>
        <v>45240</v>
      </c>
      <c r="T232" s="101">
        <f>+T230+T231</f>
        <v>47503</v>
      </c>
      <c r="U232" s="101">
        <f t="shared" ref="U232:AD232" si="373">+U230+U231</f>
        <v>49878</v>
      </c>
      <c r="V232" s="101">
        <f t="shared" si="373"/>
        <v>52372</v>
      </c>
      <c r="W232" s="101">
        <f t="shared" si="373"/>
        <v>54991</v>
      </c>
      <c r="X232" s="101">
        <f t="shared" si="373"/>
        <v>57740</v>
      </c>
      <c r="Y232" s="101">
        <f t="shared" si="373"/>
        <v>60627</v>
      </c>
      <c r="Z232" s="101">
        <f t="shared" si="373"/>
        <v>63658</v>
      </c>
      <c r="AA232" s="101">
        <f t="shared" si="373"/>
        <v>66841</v>
      </c>
      <c r="AB232" s="101">
        <f t="shared" si="373"/>
        <v>70183</v>
      </c>
      <c r="AC232" s="101">
        <f t="shared" si="373"/>
        <v>73692</v>
      </c>
      <c r="AD232" s="101">
        <f t="shared" si="373"/>
        <v>77376</v>
      </c>
      <c r="AE232" s="101">
        <f t="shared" ref="AE232" si="374">+AE230+AE231</f>
        <v>81245</v>
      </c>
      <c r="AF232" s="31"/>
    </row>
    <row r="233" spans="1:33" x14ac:dyDescent="0.25">
      <c r="A233" s="171"/>
      <c r="B233" s="104" t="str">
        <f t="shared" ref="B233:L233" si="375">IF(AND(B234=$AE$5,$O235=9),$AE$3,IF(AND(B234=$AF$5,$O235=9),$AF$3,IF(AND(B234=$AG$5,$O235=9),$AG$3,IF(AND(B234=$AH$5,$O235=9),$AH$3,IF(AND(B234=$AI$5,$O235=9),$AI$3,IF(AND(B234=$AJ$5,$O235=9),$AJ$3,IF(AND(B234=$AK$5,$O235=9),$AK$3,IF(AND(B234=$AL$5,$O235=9),$AL$3,IF(AND(B234=$AM$5,$O235=9),$AM$3,IF(AND(B234=$AN$5,$O235=9),$AN$3,IF(AND(B234=$AO$5,$O235=9),$AO$3,IF(AND(B234=$AP$5,$O235=9),$AJ$3,IF(AND(B234=$AE$4,$O235=12),$AE$3,IF(AND(B234=$AF$4,$O235=12),$AF$3,IF(AND(B234=$AG$4,$O235=12),$AG$3,IF(AND(B234=$AH$4,$O235=12),$AH$3,IF(AND(B234=$AI$4,$O235=12),$AI$3,IF(AND(B234=$AJ$4,$O235=12),$AJ$3,IF(AND(B234=$AK$4,$O235=12),$AK$3,IF(AND(B234=$AL$4,$O235=12),$AL$3,IF(AND(B234=$AM$4,$O235=12),$AM$3,IF(AND(B234=$AN$4,$O235=12),$AN$3,IF(AND(B234=$AO$4,$O235=12),$AO$3,IF(AND(B234=$AP$4,$O235=12),$AJ$3," "))))))))))))))))))))))))</f>
        <v>Year 1</v>
      </c>
      <c r="C233" s="104" t="str">
        <f t="shared" si="375"/>
        <v>Year 2</v>
      </c>
      <c r="D233" s="104" t="str">
        <f t="shared" si="375"/>
        <v>Year 3</v>
      </c>
      <c r="E233" s="104" t="str">
        <f t="shared" si="375"/>
        <v>Year 4</v>
      </c>
      <c r="F233" s="104" t="str">
        <f t="shared" si="375"/>
        <v>Year 5</v>
      </c>
      <c r="G233" s="104" t="str">
        <f t="shared" si="375"/>
        <v>Year 6</v>
      </c>
      <c r="H233" s="104" t="str">
        <f t="shared" si="375"/>
        <v>Year 7</v>
      </c>
      <c r="I233" s="104" t="str">
        <f t="shared" si="375"/>
        <v>Year 8</v>
      </c>
      <c r="J233" s="104" t="str">
        <f t="shared" si="375"/>
        <v>Year 9</v>
      </c>
      <c r="K233" s="104" t="str">
        <f t="shared" si="375"/>
        <v>Year 10</v>
      </c>
      <c r="L233" s="104" t="str">
        <f t="shared" si="375"/>
        <v>Year 11</v>
      </c>
      <c r="M233" s="104" t="str">
        <f t="shared" ref="M233" si="376">IF(AND(M234=$AE$5,$O235=9),$AE$3,IF(AND(M234=$AF$5,$O235=9),$AF$3,IF(AND(M234=$AG$5,$O235=9),$AG$3,IF(AND(M234=$AH$5,$O235=9),$AH$3,IF(AND(M234=$AI$5,$O235=9),$AI$3,IF(AND(M234=$AJ$5,$O235=9),$AJ$3,IF(AND(M234=$AK$5,$O235=9),$AK$3,IF(AND(M234=$AL$5,$O235=9),$AL$3,IF(AND(M234=$AM$5,$O235=9),$AM$3,IF(AND(M234=$AN$5,$O235=9),$AN$3,IF(AND(M234=$AO$5,$O235=9),$AO$3,IF(AND(M234=$AP$5,$O235=9),$AJ$3,IF(AND(M234=$AE$4,$O235=12),$AE$3,IF(AND(M234=$AF$4,$O235=12),$AF$3,IF(AND(M234=$AG$4,$O235=12),$AG$3,IF(AND(M234=$AH$4,$O235=12),$AH$3,IF(AND(M234=$AI$4,$O235=12),$AI$3,IF(AND(M234=$AJ$4,$O235=12),$AJ$3,IF(AND(M234=$AK$4,$O235=12),$AK$3,IF(AND(M234=$AL$4,$O235=12),$AL$3,IF(AND(M234=$AM$4,$O235=12),$AM$3,IF(AND(M234=$AN$4,$O235=12),$AN$3,IF(AND(M234=$AO$4,$O235=12),$AO$3,IF(AND(M234=$AP$4,$O235=12),$AJ$3," "))))))))))))))))))))))))</f>
        <v>Year 6</v>
      </c>
      <c r="N233" s="104"/>
      <c r="O233" s="89"/>
      <c r="P233" s="89"/>
      <c r="Q233" s="186"/>
      <c r="R233" s="30" t="s">
        <v>8</v>
      </c>
      <c r="S233" s="101">
        <f>IF(B193="Contract College",P$34,P$35)</f>
        <v>10400</v>
      </c>
      <c r="T233" s="101">
        <f t="shared" ref="T233:AD233" si="377">IF(C193="Contract College",Q$34,Q$35)</f>
        <v>10400</v>
      </c>
      <c r="U233" s="101">
        <f t="shared" si="377"/>
        <v>10400</v>
      </c>
      <c r="V233" s="101">
        <f t="shared" si="377"/>
        <v>10400</v>
      </c>
      <c r="W233" s="101">
        <f t="shared" si="377"/>
        <v>10400</v>
      </c>
      <c r="X233" s="101">
        <f t="shared" si="377"/>
        <v>10400</v>
      </c>
      <c r="Y233" s="101">
        <f t="shared" si="377"/>
        <v>10400</v>
      </c>
      <c r="Z233" s="101">
        <f t="shared" si="377"/>
        <v>10400</v>
      </c>
      <c r="AA233" s="101">
        <f t="shared" si="377"/>
        <v>10400</v>
      </c>
      <c r="AB233" s="101">
        <f t="shared" si="377"/>
        <v>10400</v>
      </c>
      <c r="AC233" s="101">
        <f t="shared" si="377"/>
        <v>10400</v>
      </c>
      <c r="AD233" s="101">
        <f t="shared" si="377"/>
        <v>10400</v>
      </c>
      <c r="AE233" s="101">
        <f t="shared" ref="AE233" si="378">ROUND(AD233*(1+$AF233),0)</f>
        <v>10400</v>
      </c>
      <c r="AF233" s="31">
        <v>0</v>
      </c>
      <c r="AG233" t="s">
        <v>204</v>
      </c>
    </row>
    <row r="234" spans="1:33" x14ac:dyDescent="0.25">
      <c r="A234" s="170" t="s">
        <v>102</v>
      </c>
      <c r="B234" s="55" t="str">
        <f t="shared" ref="B234:I234" si="379">+N$2</f>
        <v>FY2025</v>
      </c>
      <c r="C234" s="55" t="str">
        <f t="shared" si="379"/>
        <v>FY2026</v>
      </c>
      <c r="D234" s="55" t="str">
        <f t="shared" si="379"/>
        <v>FY2027</v>
      </c>
      <c r="E234" s="55" t="str">
        <f t="shared" si="379"/>
        <v>FY2028</v>
      </c>
      <c r="F234" s="55" t="str">
        <f t="shared" si="379"/>
        <v>FY2029</v>
      </c>
      <c r="G234" s="55" t="str">
        <f t="shared" si="379"/>
        <v>FY2030</v>
      </c>
      <c r="H234" s="55" t="str">
        <f t="shared" si="379"/>
        <v>FY2031</v>
      </c>
      <c r="I234" s="55" t="str">
        <f t="shared" si="379"/>
        <v>FY2032</v>
      </c>
      <c r="J234" s="55" t="str">
        <f t="shared" ref="J234" si="380">+V$2</f>
        <v>FY2033</v>
      </c>
      <c r="K234" s="55" t="str">
        <f t="shared" ref="K234:M234" si="381">+W$2</f>
        <v>FY2034</v>
      </c>
      <c r="L234" s="55" t="str">
        <f t="shared" si="381"/>
        <v>FY2035</v>
      </c>
      <c r="M234" s="55" t="str">
        <f t="shared" si="381"/>
        <v>FY2036</v>
      </c>
      <c r="N234" s="55"/>
      <c r="O234" s="32" t="s">
        <v>20</v>
      </c>
      <c r="P234" s="89"/>
      <c r="Q234" s="186"/>
      <c r="R234" s="30" t="s">
        <v>24</v>
      </c>
      <c r="S234" s="101">
        <f>+$P$36</f>
        <v>4378</v>
      </c>
      <c r="T234" s="101">
        <f>IF(ROUND(S234*(1+$AF234),0)=$Q$36,ROUND(S234*(1+$AF234),0),$Q$36)</f>
        <v>4816</v>
      </c>
      <c r="U234" s="101">
        <f t="shared" ref="U234:AE234" si="382">ROUND(T234*(1+$AF234),0)</f>
        <v>5298</v>
      </c>
      <c r="V234" s="101">
        <f t="shared" si="382"/>
        <v>5828</v>
      </c>
      <c r="W234" s="101">
        <f t="shared" si="382"/>
        <v>6411</v>
      </c>
      <c r="X234" s="101">
        <f t="shared" si="382"/>
        <v>7052</v>
      </c>
      <c r="Y234" s="101">
        <f t="shared" si="382"/>
        <v>7757</v>
      </c>
      <c r="Z234" s="101">
        <f t="shared" si="382"/>
        <v>8533</v>
      </c>
      <c r="AA234" s="101">
        <f t="shared" si="382"/>
        <v>9386</v>
      </c>
      <c r="AB234" s="101">
        <f t="shared" si="382"/>
        <v>10325</v>
      </c>
      <c r="AC234" s="101">
        <f t="shared" si="382"/>
        <v>11358</v>
      </c>
      <c r="AD234" s="101">
        <f t="shared" si="382"/>
        <v>12494</v>
      </c>
      <c r="AE234" s="101">
        <f t="shared" si="382"/>
        <v>13743</v>
      </c>
      <c r="AF234" s="31">
        <v>0.1</v>
      </c>
    </row>
    <row r="235" spans="1:33" x14ac:dyDescent="0.25">
      <c r="A235" s="171" t="str">
        <f>CONCATENATE("Base Salary: ",O235," month term")</f>
        <v>Base Salary: 12 month term</v>
      </c>
      <c r="B235" s="62">
        <f>PostdocMinRate</f>
        <v>61008</v>
      </c>
      <c r="C235" s="443">
        <f t="shared" ref="C235:M235" si="383">ROUND(+B235*(1+(HLOOKUP(C234,FringeAndIDCRates,11,FALSE))),0)</f>
        <v>63143</v>
      </c>
      <c r="D235" s="443">
        <f t="shared" si="383"/>
        <v>65227</v>
      </c>
      <c r="E235" s="443">
        <f t="shared" si="383"/>
        <v>67184</v>
      </c>
      <c r="F235" s="443">
        <f t="shared" si="383"/>
        <v>69200</v>
      </c>
      <c r="G235" s="443">
        <f t="shared" si="383"/>
        <v>71276</v>
      </c>
      <c r="H235" s="443">
        <f t="shared" si="383"/>
        <v>73414</v>
      </c>
      <c r="I235" s="443">
        <f t="shared" si="383"/>
        <v>75616</v>
      </c>
      <c r="J235" s="443">
        <f t="shared" si="383"/>
        <v>77884</v>
      </c>
      <c r="K235" s="443">
        <f t="shared" si="383"/>
        <v>80221</v>
      </c>
      <c r="L235" s="443">
        <f t="shared" si="383"/>
        <v>82628</v>
      </c>
      <c r="M235" s="443">
        <f t="shared" si="383"/>
        <v>85107</v>
      </c>
      <c r="N235" s="109"/>
      <c r="O235" s="317">
        <v>12</v>
      </c>
      <c r="P235" s="318"/>
      <c r="Q235" s="186"/>
      <c r="Y235" s="23"/>
    </row>
    <row r="236" spans="1:33" x14ac:dyDescent="0.25">
      <c r="A236" s="171" t="s">
        <v>44</v>
      </c>
      <c r="B236" s="312">
        <v>0</v>
      </c>
      <c r="C236" s="312">
        <v>0</v>
      </c>
      <c r="D236" s="312">
        <v>0</v>
      </c>
      <c r="E236" s="312">
        <v>0</v>
      </c>
      <c r="F236" s="312">
        <v>0</v>
      </c>
      <c r="G236" s="312">
        <v>0</v>
      </c>
      <c r="H236" s="312">
        <v>0</v>
      </c>
      <c r="I236" s="312">
        <v>0</v>
      </c>
      <c r="J236" s="312">
        <v>0</v>
      </c>
      <c r="K236" s="312">
        <v>0</v>
      </c>
      <c r="L236" s="312">
        <v>0</v>
      </c>
      <c r="M236" s="312">
        <v>0</v>
      </c>
      <c r="N236" s="400"/>
      <c r="O236" s="25"/>
      <c r="P236" s="25"/>
      <c r="Q236" s="186"/>
      <c r="Y236" s="23"/>
    </row>
    <row r="237" spans="1:33" x14ac:dyDescent="0.25">
      <c r="A237" s="171" t="str">
        <f>CONCATENATE("FTE for ",O235," Months")</f>
        <v>FTE for 12 Months</v>
      </c>
      <c r="B237" s="393">
        <f t="shared" ref="B237:L237" si="384">+B236/$O235</f>
        <v>0</v>
      </c>
      <c r="C237" s="393">
        <f t="shared" si="384"/>
        <v>0</v>
      </c>
      <c r="D237" s="393">
        <f t="shared" si="384"/>
        <v>0</v>
      </c>
      <c r="E237" s="393">
        <f t="shared" si="384"/>
        <v>0</v>
      </c>
      <c r="F237" s="393">
        <f t="shared" si="384"/>
        <v>0</v>
      </c>
      <c r="G237" s="393">
        <f t="shared" si="384"/>
        <v>0</v>
      </c>
      <c r="H237" s="393">
        <f t="shared" si="384"/>
        <v>0</v>
      </c>
      <c r="I237" s="393">
        <f t="shared" si="384"/>
        <v>0</v>
      </c>
      <c r="J237" s="393">
        <f t="shared" si="384"/>
        <v>0</v>
      </c>
      <c r="K237" s="393">
        <f t="shared" si="384"/>
        <v>0</v>
      </c>
      <c r="L237" s="393">
        <f t="shared" si="384"/>
        <v>0</v>
      </c>
      <c r="M237" s="393">
        <f t="shared" ref="M237" si="385">+M236/$O235</f>
        <v>0</v>
      </c>
      <c r="N237" s="401"/>
      <c r="O237" s="89"/>
      <c r="P237" s="89"/>
      <c r="Q237" s="186"/>
      <c r="S237" s="53" t="str">
        <f t="shared" ref="S237:AC237" si="386">+S156</f>
        <v>Spring 2025</v>
      </c>
      <c r="T237" s="53" t="str">
        <f t="shared" si="386"/>
        <v>Spring 2026</v>
      </c>
      <c r="U237" s="53" t="str">
        <f t="shared" si="386"/>
        <v>Spring 2027</v>
      </c>
      <c r="V237" s="53" t="str">
        <f t="shared" si="386"/>
        <v>Spring 2028</v>
      </c>
      <c r="W237" s="53" t="str">
        <f t="shared" si="386"/>
        <v>Spring 2029</v>
      </c>
      <c r="X237" s="53" t="str">
        <f t="shared" si="386"/>
        <v>Spring 2030</v>
      </c>
      <c r="Y237" s="53" t="str">
        <f t="shared" si="386"/>
        <v>Spring 2031</v>
      </c>
      <c r="Z237" s="53" t="str">
        <f t="shared" si="386"/>
        <v>Spring 2032</v>
      </c>
      <c r="AA237" s="53" t="str">
        <f t="shared" si="386"/>
        <v>Spring 2033</v>
      </c>
      <c r="AB237" s="53" t="str">
        <f t="shared" si="386"/>
        <v>Spring 2034</v>
      </c>
      <c r="AC237" s="53" t="str">
        <f t="shared" si="386"/>
        <v>Spring 2035</v>
      </c>
      <c r="AD237" s="53" t="str">
        <f t="shared" ref="AD237" si="387">+AD156</f>
        <v>Spring 2036</v>
      </c>
    </row>
    <row r="238" spans="1:33" x14ac:dyDescent="0.25">
      <c r="A238" s="171" t="s">
        <v>21</v>
      </c>
      <c r="B238" s="110">
        <f t="shared" ref="B238:K238" si="388">ROUND((B235*B237*$Q$41)+(C235*B237*$Q$42),0)</f>
        <v>0</v>
      </c>
      <c r="C238" s="110">
        <f t="shared" si="388"/>
        <v>0</v>
      </c>
      <c r="D238" s="110">
        <f t="shared" si="388"/>
        <v>0</v>
      </c>
      <c r="E238" s="110">
        <f t="shared" si="388"/>
        <v>0</v>
      </c>
      <c r="F238" s="110">
        <f t="shared" si="388"/>
        <v>0</v>
      </c>
      <c r="G238" s="110">
        <f t="shared" si="388"/>
        <v>0</v>
      </c>
      <c r="H238" s="110">
        <f t="shared" si="388"/>
        <v>0</v>
      </c>
      <c r="I238" s="110">
        <f t="shared" si="388"/>
        <v>0</v>
      </c>
      <c r="J238" s="110">
        <f t="shared" si="388"/>
        <v>0</v>
      </c>
      <c r="K238" s="110">
        <f t="shared" si="388"/>
        <v>0</v>
      </c>
      <c r="L238" s="110">
        <f>ROUND((L235*L237*$Q$41)+(N235*L237*$Q$42),0)</f>
        <v>0</v>
      </c>
      <c r="M238" s="110">
        <f>ROUND((M235*M237*$Q$41)+(O235*M237*$Q$42),0)</f>
        <v>0</v>
      </c>
      <c r="N238" s="402"/>
      <c r="O238" s="89"/>
      <c r="P238" s="89"/>
      <c r="Q238" s="185"/>
      <c r="S238" s="53" t="str">
        <f t="shared" ref="S238:AC238" si="389">+S157</f>
        <v>Summer 2025</v>
      </c>
      <c r="T238" s="53" t="str">
        <f t="shared" si="389"/>
        <v>Summer 2026</v>
      </c>
      <c r="U238" s="53" t="str">
        <f t="shared" si="389"/>
        <v>Summer 2027</v>
      </c>
      <c r="V238" s="53" t="str">
        <f t="shared" si="389"/>
        <v>Summer 2028</v>
      </c>
      <c r="W238" s="53" t="str">
        <f t="shared" si="389"/>
        <v>Summer 2029</v>
      </c>
      <c r="X238" s="53" t="str">
        <f t="shared" si="389"/>
        <v>Summer 2030</v>
      </c>
      <c r="Y238" s="53" t="str">
        <f t="shared" si="389"/>
        <v>Summer 2031</v>
      </c>
      <c r="Z238" s="53" t="str">
        <f t="shared" si="389"/>
        <v>Summer 2032</v>
      </c>
      <c r="AA238" s="53" t="str">
        <f t="shared" si="389"/>
        <v>Summer 2033</v>
      </c>
      <c r="AB238" s="53" t="str">
        <f t="shared" si="389"/>
        <v>Summer 2034</v>
      </c>
      <c r="AC238" s="53" t="str">
        <f t="shared" si="389"/>
        <v>Summer 2035</v>
      </c>
      <c r="AD238" s="53" t="str">
        <f t="shared" ref="AD238" si="390">+AD157</f>
        <v>Summer 2036</v>
      </c>
    </row>
    <row r="239" spans="1:33" x14ac:dyDescent="0.25">
      <c r="A239" s="171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/>
      <c r="P239" s="26"/>
      <c r="Q239" s="186"/>
      <c r="S239" s="53" t="str">
        <f t="shared" ref="S239:AC239" si="391">+S158</f>
        <v>Fall 2025</v>
      </c>
      <c r="T239" s="53" t="str">
        <f t="shared" si="391"/>
        <v>Fall 2026</v>
      </c>
      <c r="U239" s="53" t="str">
        <f t="shared" si="391"/>
        <v>Fall 2027</v>
      </c>
      <c r="V239" s="53" t="str">
        <f t="shared" si="391"/>
        <v>Fall 2028</v>
      </c>
      <c r="W239" s="53" t="str">
        <f t="shared" si="391"/>
        <v>Fall 2029</v>
      </c>
      <c r="X239" s="53" t="str">
        <f t="shared" si="391"/>
        <v>Fall 2030</v>
      </c>
      <c r="Y239" s="53" t="str">
        <f t="shared" si="391"/>
        <v>Fall 2031</v>
      </c>
      <c r="Z239" s="53" t="str">
        <f t="shared" si="391"/>
        <v>Fall 2032</v>
      </c>
      <c r="AA239" s="53" t="str">
        <f t="shared" si="391"/>
        <v>Fall 2033</v>
      </c>
      <c r="AB239" s="53" t="str">
        <f t="shared" si="391"/>
        <v>Fall 2034</v>
      </c>
      <c r="AC239" s="53" t="str">
        <f t="shared" si="391"/>
        <v>Fall 2035</v>
      </c>
      <c r="AD239" s="53" t="str">
        <f t="shared" ref="AD239" si="392">+AD158</f>
        <v>Fall 2036</v>
      </c>
    </row>
    <row r="240" spans="1:33" x14ac:dyDescent="0.25">
      <c r="A240" s="171"/>
      <c r="B240" s="104" t="str">
        <f t="shared" ref="B240:L240" si="393">IF(AND(B241=$AE$5,$O242=9),$AE$3,IF(AND(B241=$AF$5,$O242=9),$AF$3,IF(AND(B241=$AG$5,$O242=9),$AG$3,IF(AND(B241=$AH$5,$O242=9),$AH$3,IF(AND(B241=$AI$5,$O242=9),$AI$3,IF(AND(B241=$AJ$5,$O242=9),$AJ$3,IF(AND(B241=$AK$5,$O242=9),$AK$3,IF(AND(B241=$AL$5,$O242=9),$AL$3,IF(AND(B241=$AM$5,$O242=9),$AM$3,IF(AND(B241=$AN$5,$O242=9),$AN$3,IF(AND(B241=$AO$5,$O242=9),$AO$3,IF(AND(B241=$AP$5,$O242=9),$AJ$3,IF(AND(B241=$AE$4,$O242=12),$AE$3,IF(AND(B241=$AF$4,$O242=12),$AF$3,IF(AND(B241=$AG$4,$O242=12),$AG$3,IF(AND(B241=$AH$4,$O242=12),$AH$3,IF(AND(B241=$AI$4,$O242=12),$AI$3,IF(AND(B241=$AJ$4,$O242=12),$AJ$3,IF(AND(B241=$AK$4,$O242=12),$AK$3,IF(AND(B241=$AL$4,$O242=12),$AL$3,IF(AND(B241=$AM$4,$O242=12),$AM$3,IF(AND(B241=$AN$4,$O242=12),$AN$3,IF(AND(B241=$AO$4,$O242=12),$AO$3,IF(AND(B241=$AP$4,$O242=12),$AJ$3," "))))))))))))))))))))))))</f>
        <v>Year 1</v>
      </c>
      <c r="C240" s="104" t="str">
        <f t="shared" si="393"/>
        <v>Year 2</v>
      </c>
      <c r="D240" s="104" t="str">
        <f t="shared" si="393"/>
        <v>Year 3</v>
      </c>
      <c r="E240" s="104" t="str">
        <f t="shared" si="393"/>
        <v>Year 4</v>
      </c>
      <c r="F240" s="104" t="str">
        <f t="shared" si="393"/>
        <v>Year 5</v>
      </c>
      <c r="G240" s="104" t="str">
        <f t="shared" si="393"/>
        <v>Year 6</v>
      </c>
      <c r="H240" s="104" t="str">
        <f t="shared" si="393"/>
        <v>Year 7</v>
      </c>
      <c r="I240" s="104" t="str">
        <f t="shared" si="393"/>
        <v>Year 8</v>
      </c>
      <c r="J240" s="104" t="str">
        <f t="shared" si="393"/>
        <v>Year 9</v>
      </c>
      <c r="K240" s="104" t="str">
        <f t="shared" si="393"/>
        <v>Year 10</v>
      </c>
      <c r="L240" s="104" t="str">
        <f t="shared" si="393"/>
        <v>Year 11</v>
      </c>
      <c r="M240" s="104" t="str">
        <f t="shared" ref="M240" si="394">IF(AND(M241=$AE$5,$O242=9),$AE$3,IF(AND(M241=$AF$5,$O242=9),$AF$3,IF(AND(M241=$AG$5,$O242=9),$AG$3,IF(AND(M241=$AH$5,$O242=9),$AH$3,IF(AND(M241=$AI$5,$O242=9),$AI$3,IF(AND(M241=$AJ$5,$O242=9),$AJ$3,IF(AND(M241=$AK$5,$O242=9),$AK$3,IF(AND(M241=$AL$5,$O242=9),$AL$3,IF(AND(M241=$AM$5,$O242=9),$AM$3,IF(AND(M241=$AN$5,$O242=9),$AN$3,IF(AND(M241=$AO$5,$O242=9),$AO$3,IF(AND(M241=$AP$5,$O242=9),$AJ$3,IF(AND(M241=$AE$4,$O242=12),$AE$3,IF(AND(M241=$AF$4,$O242=12),$AF$3,IF(AND(M241=$AG$4,$O242=12),$AG$3,IF(AND(M241=$AH$4,$O242=12),$AH$3,IF(AND(M241=$AI$4,$O242=12),$AI$3,IF(AND(M241=$AJ$4,$O242=12),$AJ$3,IF(AND(M241=$AK$4,$O242=12),$AK$3,IF(AND(M241=$AL$4,$O242=12),$AL$3,IF(AND(M241=$AM$4,$O242=12),$AM$3,IF(AND(M241=$AN$4,$O242=12),$AN$3,IF(AND(M241=$AO$4,$O242=12),$AO$3,IF(AND(M241=$AP$4,$O242=12),$AJ$3," "))))))))))))))))))))))))</f>
        <v>Year 6</v>
      </c>
      <c r="N240" s="104"/>
      <c r="O240" s="26"/>
      <c r="P240" s="26"/>
      <c r="Q240" s="186"/>
      <c r="S240" s="34" t="str">
        <f t="shared" ref="S240:AC240" si="395">+S159</f>
        <v>FY2025&amp;26</v>
      </c>
      <c r="T240" s="34" t="str">
        <f t="shared" si="395"/>
        <v>FY2026&amp;27</v>
      </c>
      <c r="U240" s="34" t="str">
        <f t="shared" si="395"/>
        <v>FY2027&amp;28</v>
      </c>
      <c r="V240" s="34" t="str">
        <f t="shared" si="395"/>
        <v>FY2028&amp;29</v>
      </c>
      <c r="W240" s="34" t="str">
        <f t="shared" si="395"/>
        <v>FY2029&amp;30</v>
      </c>
      <c r="X240" s="34" t="str">
        <f t="shared" si="395"/>
        <v>FY2030&amp;31</v>
      </c>
      <c r="Y240" s="34" t="str">
        <f t="shared" si="395"/>
        <v>FY2031&amp;32</v>
      </c>
      <c r="Z240" s="34" t="str">
        <f t="shared" si="395"/>
        <v>FY2032&amp;33</v>
      </c>
      <c r="AA240" s="34" t="str">
        <f t="shared" si="395"/>
        <v>FY2033&amp;34</v>
      </c>
      <c r="AB240" s="34" t="str">
        <f t="shared" si="395"/>
        <v>FY2034&amp;35</v>
      </c>
      <c r="AC240" s="34" t="str">
        <f t="shared" si="395"/>
        <v>FY2035&amp;36</v>
      </c>
      <c r="AD240" s="34" t="str">
        <f t="shared" ref="AD240" si="396">+AD159</f>
        <v>FY2036&amp;</v>
      </c>
    </row>
    <row r="241" spans="1:30" ht="15.75" thickBot="1" x14ac:dyDescent="0.3">
      <c r="A241" s="170" t="s">
        <v>74</v>
      </c>
      <c r="B241" s="55" t="str">
        <f t="shared" ref="B241:I241" si="397">+N$2</f>
        <v>FY2025</v>
      </c>
      <c r="C241" s="55" t="str">
        <f t="shared" si="397"/>
        <v>FY2026</v>
      </c>
      <c r="D241" s="55" t="str">
        <f t="shared" si="397"/>
        <v>FY2027</v>
      </c>
      <c r="E241" s="55" t="str">
        <f t="shared" si="397"/>
        <v>FY2028</v>
      </c>
      <c r="F241" s="55" t="str">
        <f t="shared" si="397"/>
        <v>FY2029</v>
      </c>
      <c r="G241" s="55" t="str">
        <f t="shared" si="397"/>
        <v>FY2030</v>
      </c>
      <c r="H241" s="55" t="str">
        <f t="shared" si="397"/>
        <v>FY2031</v>
      </c>
      <c r="I241" s="55" t="str">
        <f t="shared" si="397"/>
        <v>FY2032</v>
      </c>
      <c r="J241" s="55" t="str">
        <f t="shared" ref="J241" si="398">+V$2</f>
        <v>FY2033</v>
      </c>
      <c r="K241" s="55" t="str">
        <f t="shared" ref="K241:M241" si="399">+W$2</f>
        <v>FY2034</v>
      </c>
      <c r="L241" s="55" t="str">
        <f t="shared" si="399"/>
        <v>FY2035</v>
      </c>
      <c r="M241" s="55" t="str">
        <f t="shared" si="399"/>
        <v>FY2036</v>
      </c>
      <c r="N241" s="55"/>
      <c r="O241" s="32" t="s">
        <v>20</v>
      </c>
      <c r="P241" s="89"/>
      <c r="Q241" s="185"/>
      <c r="R241" s="35" t="s">
        <v>71</v>
      </c>
      <c r="S241" s="50" t="s">
        <v>1</v>
      </c>
      <c r="T241" s="51" t="s">
        <v>2</v>
      </c>
      <c r="U241" s="51" t="s">
        <v>3</v>
      </c>
      <c r="V241" s="51" t="s">
        <v>39</v>
      </c>
      <c r="W241" s="51" t="s">
        <v>45</v>
      </c>
      <c r="X241" s="51" t="s">
        <v>183</v>
      </c>
      <c r="Y241" s="51" t="s">
        <v>184</v>
      </c>
      <c r="Z241" s="51" t="s">
        <v>185</v>
      </c>
      <c r="AA241" s="51" t="s">
        <v>186</v>
      </c>
      <c r="AB241" s="51" t="s">
        <v>187</v>
      </c>
      <c r="AC241" s="51" t="s">
        <v>188</v>
      </c>
      <c r="AD241" s="51" t="s">
        <v>189</v>
      </c>
    </row>
    <row r="242" spans="1:30" x14ac:dyDescent="0.25">
      <c r="A242" s="171" t="str">
        <f>CONCATENATE("Base Salary: ",O242," month term")</f>
        <v>Base Salary: 12 month term</v>
      </c>
      <c r="B242" s="313">
        <v>47476</v>
      </c>
      <c r="C242" s="443">
        <f t="shared" ref="C242:M242" si="400">ROUND(+B242*(1+(HLOOKUP(C241,FringeAndIDCRates,11,FALSE))),0)</f>
        <v>49138</v>
      </c>
      <c r="D242" s="443">
        <f t="shared" si="400"/>
        <v>50760</v>
      </c>
      <c r="E242" s="443">
        <f t="shared" si="400"/>
        <v>52283</v>
      </c>
      <c r="F242" s="443">
        <f t="shared" si="400"/>
        <v>53851</v>
      </c>
      <c r="G242" s="443">
        <f t="shared" si="400"/>
        <v>55467</v>
      </c>
      <c r="H242" s="443">
        <f t="shared" si="400"/>
        <v>57131</v>
      </c>
      <c r="I242" s="443">
        <f t="shared" si="400"/>
        <v>58845</v>
      </c>
      <c r="J242" s="443">
        <f t="shared" si="400"/>
        <v>60610</v>
      </c>
      <c r="K242" s="443">
        <f t="shared" si="400"/>
        <v>62428</v>
      </c>
      <c r="L242" s="443">
        <f t="shared" si="400"/>
        <v>64301</v>
      </c>
      <c r="M242" s="443">
        <f t="shared" si="400"/>
        <v>66230</v>
      </c>
      <c r="N242" s="109"/>
      <c r="O242" s="317">
        <v>12</v>
      </c>
      <c r="P242" s="311"/>
      <c r="Q242" s="187"/>
      <c r="R242" s="61" t="str">
        <f>CONCATENATE("Number of Students ",IF(AND($AD$2&gt;=7,$AD$2&lt;=9),CONCATENATE("(Fall)"),IF(AND($AD$2&gt;=7,$AD$2&lt;=10),CONCATENATE("(Spring)"),IF(OR($AD$2&gt;=10,$AD$2&lt;=2),CONCATENATE("(Spring)"),IF(AND($AD$2&gt;=7,$AD$2&lt;=10),CONCATENATE("(Summer)"),IF(OR($AD$2&gt;=10,$AD$2&lt;=2),CONCATENATE("(Summer)"),IF(AND($AD$2&gt;=3,$AD$2&lt;=6),CONCATENATE("(Summer)"),"N/A")))))))</f>
        <v>Number of Students (Spring)</v>
      </c>
      <c r="S242" s="60">
        <f t="shared" ref="S242:X244" si="401">+B248</f>
        <v>0</v>
      </c>
      <c r="T242" s="60">
        <f t="shared" si="401"/>
        <v>0</v>
      </c>
      <c r="U242" s="60">
        <f t="shared" si="401"/>
        <v>0</v>
      </c>
      <c r="V242" s="60">
        <f t="shared" si="401"/>
        <v>0</v>
      </c>
      <c r="W242" s="60">
        <f t="shared" si="401"/>
        <v>0</v>
      </c>
      <c r="X242" s="60">
        <f t="shared" si="401"/>
        <v>0</v>
      </c>
      <c r="Y242" s="60">
        <f t="shared" ref="Y242:Y244" si="402">+H248</f>
        <v>0</v>
      </c>
      <c r="Z242" s="60">
        <f t="shared" ref="Z242:Z244" si="403">+I248</f>
        <v>0</v>
      </c>
      <c r="AA242" s="60">
        <f t="shared" ref="AA242:AA244" si="404">+J248</f>
        <v>0</v>
      </c>
      <c r="AB242" s="60">
        <f t="shared" ref="AB242:AB244" si="405">+K248</f>
        <v>0</v>
      </c>
      <c r="AC242" s="60">
        <f t="shared" ref="AC242:AD244" si="406">+L248</f>
        <v>0</v>
      </c>
      <c r="AD242" s="60">
        <f t="shared" si="406"/>
        <v>0</v>
      </c>
    </row>
    <row r="243" spans="1:30" x14ac:dyDescent="0.25">
      <c r="A243" s="171" t="s">
        <v>44</v>
      </c>
      <c r="B243" s="312">
        <v>0</v>
      </c>
      <c r="C243" s="312">
        <v>0</v>
      </c>
      <c r="D243" s="312">
        <v>0</v>
      </c>
      <c r="E243" s="312">
        <v>0</v>
      </c>
      <c r="F243" s="312">
        <v>0</v>
      </c>
      <c r="G243" s="312">
        <v>0</v>
      </c>
      <c r="H243" s="312">
        <v>0</v>
      </c>
      <c r="I243" s="312">
        <v>0</v>
      </c>
      <c r="J243" s="312">
        <v>0</v>
      </c>
      <c r="K243" s="312">
        <v>0</v>
      </c>
      <c r="L243" s="312">
        <v>0</v>
      </c>
      <c r="M243" s="312">
        <v>0</v>
      </c>
      <c r="N243" s="400"/>
      <c r="O243" s="25"/>
      <c r="P243" s="25"/>
      <c r="Q243" s="171"/>
      <c r="R243" s="115" t="str">
        <f>CONCATENATE("Number of Students ",IF(AND($AD$2&gt;=7,$AD$2&lt;=9),CONCATENATE("(Spring)"),IF(AND($AD$2&gt;=7,$AD$2&lt;=10),CONCATENATE("(Summer)"),IF(OR($AD$2&gt;=10,$AD$2&lt;=2),CONCATENATE("(Summer)"),IF(AND($AD$2&gt;=7,$AD$2&lt;=10),CONCATENATE("(Fall)"),IF(OR($AD$2&gt;=10,$AD$2&lt;=2),CONCATENATE("(Fall) "),IF(AND($AD$2&gt;=3,$AD$2&lt;=6),CONCATENATE("(Fall)"),"N/A")))))))</f>
        <v>Number of Students (Summer)</v>
      </c>
      <c r="S243" s="60">
        <f t="shared" si="401"/>
        <v>0</v>
      </c>
      <c r="T243" s="60">
        <f t="shared" si="401"/>
        <v>0</v>
      </c>
      <c r="U243" s="60">
        <f t="shared" si="401"/>
        <v>0</v>
      </c>
      <c r="V243" s="60">
        <f t="shared" si="401"/>
        <v>0</v>
      </c>
      <c r="W243" s="60">
        <f t="shared" si="401"/>
        <v>0</v>
      </c>
      <c r="X243" s="60">
        <f t="shared" si="401"/>
        <v>0</v>
      </c>
      <c r="Y243" s="60">
        <f t="shared" si="402"/>
        <v>0</v>
      </c>
      <c r="Z243" s="60">
        <f t="shared" si="403"/>
        <v>0</v>
      </c>
      <c r="AA243" s="60">
        <f t="shared" si="404"/>
        <v>0</v>
      </c>
      <c r="AB243" s="60">
        <f t="shared" si="405"/>
        <v>0</v>
      </c>
      <c r="AC243" s="60">
        <f t="shared" si="406"/>
        <v>0</v>
      </c>
      <c r="AD243" s="60">
        <f t="shared" si="406"/>
        <v>0</v>
      </c>
    </row>
    <row r="244" spans="1:30" x14ac:dyDescent="0.25">
      <c r="A244" s="171" t="str">
        <f>CONCATENATE("FTE for ",O242," Months")</f>
        <v>FTE for 12 Months</v>
      </c>
      <c r="B244" s="393">
        <f t="shared" ref="B244:L244" si="407">+B243/$O242</f>
        <v>0</v>
      </c>
      <c r="C244" s="393">
        <f t="shared" si="407"/>
        <v>0</v>
      </c>
      <c r="D244" s="393">
        <f t="shared" si="407"/>
        <v>0</v>
      </c>
      <c r="E244" s="393">
        <f t="shared" si="407"/>
        <v>0</v>
      </c>
      <c r="F244" s="393">
        <f t="shared" si="407"/>
        <v>0</v>
      </c>
      <c r="G244" s="393">
        <f t="shared" si="407"/>
        <v>0</v>
      </c>
      <c r="H244" s="393">
        <f t="shared" si="407"/>
        <v>0</v>
      </c>
      <c r="I244" s="393">
        <f t="shared" si="407"/>
        <v>0</v>
      </c>
      <c r="J244" s="393">
        <f t="shared" si="407"/>
        <v>0</v>
      </c>
      <c r="K244" s="393">
        <f t="shared" si="407"/>
        <v>0</v>
      </c>
      <c r="L244" s="393">
        <f t="shared" si="407"/>
        <v>0</v>
      </c>
      <c r="M244" s="393">
        <f t="shared" ref="M244" si="408">+M243/$O242</f>
        <v>0</v>
      </c>
      <c r="N244" s="401"/>
      <c r="O244" s="89"/>
      <c r="P244" s="89"/>
      <c r="Q244" s="185"/>
      <c r="R244" s="115" t="str">
        <f>CONCATENATE("Number of Students ",IF(AND($AD$2&gt;=7,$AD$2&lt;=9),CONCATENATE("(Summer)"),IF(AND($AD$2&gt;=7,$AD$2&lt;=10),CONCATENATE("(Fall)"),IF(OR($AD$2&gt;=10,$AD$2&lt;=2),CONCATENATE("(Fall)"),IF(AND($AD$2&gt;=7,$AD$2&lt;=10),CONCATENATE("(Spring)"),IF(OR($AD$2&gt;=10,$AD$2&lt;=2),CONCATENATE("(Spring)"),IF(AND($AD$2&gt;=3,$AD$2&lt;=6),CONCATENATE("(Spring)"),"N/A")))))))</f>
        <v>Number of Students (Fall)</v>
      </c>
      <c r="S244" s="60">
        <f t="shared" si="401"/>
        <v>0</v>
      </c>
      <c r="T244" s="60">
        <f t="shared" si="401"/>
        <v>0</v>
      </c>
      <c r="U244" s="60">
        <f t="shared" si="401"/>
        <v>0</v>
      </c>
      <c r="V244" s="60">
        <f t="shared" si="401"/>
        <v>0</v>
      </c>
      <c r="W244" s="60">
        <f t="shared" si="401"/>
        <v>0</v>
      </c>
      <c r="X244" s="60">
        <f t="shared" si="401"/>
        <v>0</v>
      </c>
      <c r="Y244" s="60">
        <f t="shared" si="402"/>
        <v>0</v>
      </c>
      <c r="Z244" s="60">
        <f t="shared" si="403"/>
        <v>0</v>
      </c>
      <c r="AA244" s="60">
        <f t="shared" si="404"/>
        <v>0</v>
      </c>
      <c r="AB244" s="60">
        <f t="shared" si="405"/>
        <v>0</v>
      </c>
      <c r="AC244" s="60">
        <f t="shared" si="406"/>
        <v>0</v>
      </c>
      <c r="AD244" s="60">
        <f t="shared" si="406"/>
        <v>0</v>
      </c>
    </row>
    <row r="245" spans="1:30" x14ac:dyDescent="0.25">
      <c r="A245" s="171" t="s">
        <v>21</v>
      </c>
      <c r="B245" s="110">
        <f t="shared" ref="B245:K245" si="409">ROUND((B242*B244*$Q$41)+(C242*B244*$Q$42),0)</f>
        <v>0</v>
      </c>
      <c r="C245" s="110">
        <f t="shared" si="409"/>
        <v>0</v>
      </c>
      <c r="D245" s="110">
        <f t="shared" si="409"/>
        <v>0</v>
      </c>
      <c r="E245" s="110">
        <f t="shared" si="409"/>
        <v>0</v>
      </c>
      <c r="F245" s="110">
        <f t="shared" si="409"/>
        <v>0</v>
      </c>
      <c r="G245" s="110">
        <f t="shared" si="409"/>
        <v>0</v>
      </c>
      <c r="H245" s="110">
        <f t="shared" si="409"/>
        <v>0</v>
      </c>
      <c r="I245" s="110">
        <f t="shared" si="409"/>
        <v>0</v>
      </c>
      <c r="J245" s="110">
        <f t="shared" si="409"/>
        <v>0</v>
      </c>
      <c r="K245" s="110">
        <f t="shared" si="409"/>
        <v>0</v>
      </c>
      <c r="L245" s="110">
        <f>ROUND((L242*L244*$Q$41)+(N242*L244*$Q$42),0)</f>
        <v>0</v>
      </c>
      <c r="M245" s="110">
        <f>ROUND((M242*M244*$Q$41)+(O242*M244*$Q$42),0)</f>
        <v>0</v>
      </c>
      <c r="N245" s="402"/>
      <c r="O245" s="89"/>
      <c r="P245" s="89"/>
      <c r="Q245" s="185"/>
      <c r="R245" s="25"/>
      <c r="S245" s="33"/>
      <c r="T245" s="33"/>
      <c r="U245" s="33"/>
      <c r="V245" s="33"/>
      <c r="W245" s="33"/>
      <c r="X245" s="33"/>
      <c r="Y245" s="23"/>
    </row>
    <row r="246" spans="1:30" x14ac:dyDescent="0.25">
      <c r="A246" s="171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89"/>
      <c r="P246" s="89"/>
      <c r="Q246" s="185"/>
      <c r="R246" s="25"/>
      <c r="S246" s="33"/>
      <c r="T246" s="33"/>
      <c r="U246" s="33"/>
      <c r="V246" s="33"/>
      <c r="W246" s="33"/>
      <c r="X246" s="33"/>
      <c r="Y246" s="23"/>
    </row>
    <row r="247" spans="1:30" ht="15.75" thickBot="1" x14ac:dyDescent="0.3">
      <c r="A247" s="170" t="s">
        <v>70</v>
      </c>
      <c r="B247" s="24" t="s">
        <v>1</v>
      </c>
      <c r="C247" s="24" t="s">
        <v>2</v>
      </c>
      <c r="D247" s="24" t="s">
        <v>3</v>
      </c>
      <c r="E247" s="24" t="s">
        <v>39</v>
      </c>
      <c r="F247" s="24" t="s">
        <v>45</v>
      </c>
      <c r="G247" s="24" t="s">
        <v>183</v>
      </c>
      <c r="H247" s="24" t="s">
        <v>184</v>
      </c>
      <c r="I247" s="24" t="s">
        <v>185</v>
      </c>
      <c r="J247" s="24" t="s">
        <v>186</v>
      </c>
      <c r="K247" s="24" t="s">
        <v>187</v>
      </c>
      <c r="L247" s="23"/>
      <c r="M247" s="23"/>
      <c r="N247" s="23"/>
      <c r="O247" s="89"/>
      <c r="P247" s="89"/>
      <c r="Q247" s="185"/>
      <c r="R247" s="422" t="s">
        <v>105</v>
      </c>
      <c r="S247" s="50" t="s">
        <v>1</v>
      </c>
      <c r="T247" s="51" t="s">
        <v>2</v>
      </c>
      <c r="U247" s="51" t="s">
        <v>3</v>
      </c>
      <c r="V247" s="51" t="s">
        <v>39</v>
      </c>
      <c r="W247" s="51" t="s">
        <v>45</v>
      </c>
      <c r="X247" s="51" t="s">
        <v>183</v>
      </c>
      <c r="Y247" s="51" t="s">
        <v>184</v>
      </c>
      <c r="Z247" s="51" t="s">
        <v>185</v>
      </c>
      <c r="AA247" s="51" t="s">
        <v>186</v>
      </c>
      <c r="AB247" s="51" t="s">
        <v>187</v>
      </c>
    </row>
    <row r="248" spans="1:30" x14ac:dyDescent="0.25">
      <c r="A248" s="171" t="str">
        <f>+R242</f>
        <v>Number of Students (Spring)</v>
      </c>
      <c r="B248" s="314">
        <v>0</v>
      </c>
      <c r="C248" s="314">
        <v>0</v>
      </c>
      <c r="D248" s="314">
        <v>0</v>
      </c>
      <c r="E248" s="314">
        <v>0</v>
      </c>
      <c r="F248" s="314">
        <v>0</v>
      </c>
      <c r="G248" s="314">
        <v>0</v>
      </c>
      <c r="H248" s="314">
        <v>0</v>
      </c>
      <c r="I248" s="314">
        <v>0</v>
      </c>
      <c r="J248" s="314">
        <v>0</v>
      </c>
      <c r="K248" s="314">
        <v>0</v>
      </c>
      <c r="L248" s="23"/>
      <c r="M248" s="23"/>
      <c r="N248" s="23"/>
      <c r="O248" s="89"/>
      <c r="P248" s="89"/>
      <c r="Q248" s="185"/>
      <c r="R248" s="36" t="s">
        <v>22</v>
      </c>
      <c r="S248" s="37">
        <f>SUM(S258:S260)</f>
        <v>0</v>
      </c>
      <c r="T248" s="37">
        <f>SUM(T258:T260)</f>
        <v>0</v>
      </c>
      <c r="U248" s="37">
        <f>SUM(U258:U260)</f>
        <v>0</v>
      </c>
      <c r="V248" s="37">
        <f>SUM(V258:V260)</f>
        <v>0</v>
      </c>
      <c r="W248" s="37">
        <f t="shared" ref="W248:AB248" si="410">SUM(W258:W260)</f>
        <v>0</v>
      </c>
      <c r="X248" s="37">
        <f t="shared" si="410"/>
        <v>0</v>
      </c>
      <c r="Y248" s="37">
        <f t="shared" si="410"/>
        <v>0</v>
      </c>
      <c r="Z248" s="37">
        <f t="shared" si="410"/>
        <v>0</v>
      </c>
      <c r="AA248" s="37">
        <f t="shared" si="410"/>
        <v>0</v>
      </c>
      <c r="AB248" s="37">
        <f t="shared" si="410"/>
        <v>0</v>
      </c>
    </row>
    <row r="249" spans="1:30" x14ac:dyDescent="0.25">
      <c r="A249" s="171" t="str">
        <f>+R243</f>
        <v>Number of Students (Summer)</v>
      </c>
      <c r="B249" s="315">
        <f>+B248</f>
        <v>0</v>
      </c>
      <c r="C249" s="315">
        <f>+C248</f>
        <v>0</v>
      </c>
      <c r="D249" s="315">
        <f>+D248</f>
        <v>0</v>
      </c>
      <c r="E249" s="315">
        <f>+E248</f>
        <v>0</v>
      </c>
      <c r="F249" s="315">
        <f>+F248</f>
        <v>0</v>
      </c>
      <c r="G249" s="315">
        <f t="shared" ref="G249:K249" si="411">+G248</f>
        <v>0</v>
      </c>
      <c r="H249" s="315">
        <f t="shared" si="411"/>
        <v>0</v>
      </c>
      <c r="I249" s="315">
        <f t="shared" si="411"/>
        <v>0</v>
      </c>
      <c r="J249" s="315">
        <f t="shared" si="411"/>
        <v>0</v>
      </c>
      <c r="K249" s="315">
        <f t="shared" si="411"/>
        <v>0</v>
      </c>
      <c r="L249" s="23"/>
      <c r="M249" s="23"/>
      <c r="N249" s="23"/>
      <c r="O249" s="89"/>
      <c r="P249" s="89"/>
      <c r="Q249" s="185"/>
      <c r="R249" s="36" t="s">
        <v>8</v>
      </c>
      <c r="S249" s="37">
        <f>SUM(S261:S263)</f>
        <v>0</v>
      </c>
      <c r="T249" s="37">
        <f>SUM(T261:T263)</f>
        <v>0</v>
      </c>
      <c r="U249" s="37">
        <f>SUM(U261:U263)</f>
        <v>0</v>
      </c>
      <c r="V249" s="37">
        <f>SUM(V261:V263)</f>
        <v>0</v>
      </c>
      <c r="W249" s="37">
        <f t="shared" ref="W249:AB249" si="412">SUM(W261:W263)</f>
        <v>0</v>
      </c>
      <c r="X249" s="37">
        <f t="shared" si="412"/>
        <v>0</v>
      </c>
      <c r="Y249" s="37">
        <f t="shared" si="412"/>
        <v>0</v>
      </c>
      <c r="Z249" s="37">
        <f t="shared" si="412"/>
        <v>0</v>
      </c>
      <c r="AA249" s="37">
        <f t="shared" si="412"/>
        <v>0</v>
      </c>
      <c r="AB249" s="37">
        <f t="shared" si="412"/>
        <v>0</v>
      </c>
    </row>
    <row r="250" spans="1:30" x14ac:dyDescent="0.25">
      <c r="A250" s="171" t="str">
        <f>+R244</f>
        <v>Number of Students (Fall)</v>
      </c>
      <c r="B250" s="315">
        <f>+B248</f>
        <v>0</v>
      </c>
      <c r="C250" s="315">
        <f>+C248</f>
        <v>0</v>
      </c>
      <c r="D250" s="315">
        <f>+D248</f>
        <v>0</v>
      </c>
      <c r="E250" s="315">
        <f>+E248</f>
        <v>0</v>
      </c>
      <c r="F250" s="315">
        <f>+F248</f>
        <v>0</v>
      </c>
      <c r="G250" s="315">
        <f t="shared" ref="G250:K250" si="413">+G248</f>
        <v>0</v>
      </c>
      <c r="H250" s="315">
        <f t="shared" si="413"/>
        <v>0</v>
      </c>
      <c r="I250" s="315">
        <f t="shared" si="413"/>
        <v>0</v>
      </c>
      <c r="J250" s="315">
        <f t="shared" si="413"/>
        <v>0</v>
      </c>
      <c r="K250" s="315">
        <f t="shared" si="413"/>
        <v>0</v>
      </c>
      <c r="L250" s="23"/>
      <c r="M250" s="23"/>
      <c r="N250" s="23"/>
      <c r="O250" s="89"/>
      <c r="P250" s="89"/>
      <c r="Q250" s="185"/>
      <c r="R250" s="36" t="s">
        <v>9</v>
      </c>
      <c r="S250" s="37">
        <f>SUM(S264:S266)</f>
        <v>0</v>
      </c>
      <c r="T250" s="37">
        <f>SUM(T264:T266)</f>
        <v>0</v>
      </c>
      <c r="U250" s="37">
        <f>SUM(U264:U266)</f>
        <v>0</v>
      </c>
      <c r="V250" s="37">
        <f>SUM(V264:V266)</f>
        <v>0</v>
      </c>
      <c r="W250" s="37">
        <f t="shared" ref="W250:AB250" si="414">SUM(W264:W266)</f>
        <v>0</v>
      </c>
      <c r="X250" s="37">
        <f t="shared" si="414"/>
        <v>0</v>
      </c>
      <c r="Y250" s="37">
        <f t="shared" si="414"/>
        <v>0</v>
      </c>
      <c r="Z250" s="37">
        <f t="shared" si="414"/>
        <v>0</v>
      </c>
      <c r="AA250" s="37">
        <f t="shared" si="414"/>
        <v>0</v>
      </c>
      <c r="AB250" s="37">
        <f t="shared" si="414"/>
        <v>0</v>
      </c>
    </row>
    <row r="251" spans="1:30" ht="15.75" thickBot="1" x14ac:dyDescent="0.3">
      <c r="A251" s="171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23"/>
      <c r="M251" s="23"/>
      <c r="N251" s="23"/>
      <c r="O251" s="89"/>
      <c r="P251" s="89"/>
      <c r="Q251" s="185"/>
      <c r="R251" s="38" t="s">
        <v>31</v>
      </c>
      <c r="S251" s="39">
        <f>SUM(S248:S250)</f>
        <v>0</v>
      </c>
      <c r="T251" s="39">
        <f>SUM(T248:T250)</f>
        <v>0</v>
      </c>
      <c r="U251" s="39">
        <f>SUM(U248:U250)</f>
        <v>0</v>
      </c>
      <c r="V251" s="39">
        <f>SUM(V248:V250)</f>
        <v>0</v>
      </c>
      <c r="W251" s="39">
        <f t="shared" ref="W251" si="415">SUM(W248:W250)</f>
        <v>0</v>
      </c>
      <c r="X251" s="39">
        <f t="shared" ref="X251" si="416">SUM(X248:X250)</f>
        <v>0</v>
      </c>
      <c r="Y251" s="39">
        <f t="shared" ref="Y251" si="417">SUM(Y248:Y250)</f>
        <v>0</v>
      </c>
      <c r="Z251" s="39">
        <f t="shared" ref="Z251" si="418">SUM(Z248:Z250)</f>
        <v>0</v>
      </c>
      <c r="AA251" s="39">
        <f t="shared" ref="AA251" si="419">SUM(AA248:AA250)</f>
        <v>0</v>
      </c>
      <c r="AB251" s="39">
        <f t="shared" ref="AB251" si="420">SUM(AB248:AB250)</f>
        <v>0</v>
      </c>
    </row>
    <row r="252" spans="1:30" x14ac:dyDescent="0.25">
      <c r="A252" s="170" t="s">
        <v>73</v>
      </c>
      <c r="B252" s="24" t="s">
        <v>1</v>
      </c>
      <c r="C252" s="24" t="s">
        <v>2</v>
      </c>
      <c r="D252" s="24" t="s">
        <v>3</v>
      </c>
      <c r="E252" s="24" t="s">
        <v>39</v>
      </c>
      <c r="F252" s="24" t="s">
        <v>45</v>
      </c>
      <c r="G252" s="24" t="s">
        <v>183</v>
      </c>
      <c r="H252" s="24" t="s">
        <v>184</v>
      </c>
      <c r="I252" s="24" t="s">
        <v>185</v>
      </c>
      <c r="J252" s="24" t="s">
        <v>186</v>
      </c>
      <c r="K252" s="24" t="s">
        <v>187</v>
      </c>
      <c r="Q252" s="173"/>
      <c r="S252" s="116"/>
      <c r="Y252" s="23"/>
    </row>
    <row r="253" spans="1:30" x14ac:dyDescent="0.25">
      <c r="A253" s="171" t="s">
        <v>69</v>
      </c>
      <c r="B253" s="312">
        <f>Minimum_Undergraduate_rate</f>
        <v>15</v>
      </c>
      <c r="C253" s="312">
        <f>+B253</f>
        <v>15</v>
      </c>
      <c r="D253" s="312">
        <f t="shared" ref="D253" si="421">+C253</f>
        <v>15</v>
      </c>
      <c r="E253" s="312">
        <f t="shared" ref="E253" si="422">+D253</f>
        <v>15</v>
      </c>
      <c r="F253" s="312">
        <f t="shared" ref="F253" si="423">+E253</f>
        <v>15</v>
      </c>
      <c r="G253" s="312">
        <f t="shared" ref="G253" si="424">+F253</f>
        <v>15</v>
      </c>
      <c r="H253" s="312">
        <f t="shared" ref="H253" si="425">+G253</f>
        <v>15</v>
      </c>
      <c r="I253" s="312">
        <f t="shared" ref="I253" si="426">+H253</f>
        <v>15</v>
      </c>
      <c r="J253" s="312">
        <f t="shared" ref="J253" si="427">+I253</f>
        <v>15</v>
      </c>
      <c r="K253" s="312">
        <f t="shared" ref="K253" si="428">+J253</f>
        <v>15</v>
      </c>
      <c r="Q253" s="173"/>
      <c r="Y253" s="23"/>
    </row>
    <row r="254" spans="1:30" x14ac:dyDescent="0.25">
      <c r="A254" s="171" t="s">
        <v>60</v>
      </c>
      <c r="B254" s="316">
        <v>0</v>
      </c>
      <c r="C254" s="316">
        <v>0</v>
      </c>
      <c r="D254" s="316">
        <v>0</v>
      </c>
      <c r="E254" s="316">
        <v>0</v>
      </c>
      <c r="F254" s="316">
        <v>0</v>
      </c>
      <c r="G254" s="316">
        <v>0</v>
      </c>
      <c r="H254" s="316">
        <v>0</v>
      </c>
      <c r="I254" s="316">
        <v>0</v>
      </c>
      <c r="J254" s="316">
        <v>0</v>
      </c>
      <c r="K254" s="316">
        <v>0</v>
      </c>
      <c r="Q254" s="173"/>
      <c r="R254" s="117"/>
      <c r="S254" s="53" t="str">
        <f>CONCATENATE("FY",$AD$3)</f>
        <v>FY2025</v>
      </c>
      <c r="T254" s="53" t="str">
        <f>CONCATENATE("FY",$AD$3+1)</f>
        <v>FY2026</v>
      </c>
      <c r="U254" s="53" t="str">
        <f>CONCATENATE("FY",$AD$3+2)</f>
        <v>FY2027</v>
      </c>
      <c r="V254" s="53" t="str">
        <f>CONCATENATE("FY",$AD$3+3)</f>
        <v>FY2028</v>
      </c>
      <c r="W254" s="53" t="str">
        <f>CONCATENATE("FY",$AD$3+4)</f>
        <v>FY2029</v>
      </c>
      <c r="X254" s="53" t="str">
        <f>CONCATENATE("FY",$AD$3+5)</f>
        <v>FY2030</v>
      </c>
      <c r="Y254" s="53" t="str">
        <f>CONCATENATE("FY",$AD$3+6)</f>
        <v>FY2031</v>
      </c>
      <c r="Z254" s="53" t="str">
        <f>CONCATENATE("FY",$AD$3+7)</f>
        <v>FY2032</v>
      </c>
      <c r="AA254" s="53" t="str">
        <f>CONCATENATE("FY",$AD$3+8)</f>
        <v>FY2033</v>
      </c>
      <c r="AB254" s="53" t="str">
        <f>CONCATENATE("FY",$AD$3+9)</f>
        <v>FY2034</v>
      </c>
    </row>
    <row r="255" spans="1:30" x14ac:dyDescent="0.25">
      <c r="A255" s="171" t="s">
        <v>61</v>
      </c>
      <c r="B255" s="316">
        <v>0</v>
      </c>
      <c r="C255" s="316">
        <v>0</v>
      </c>
      <c r="D255" s="316">
        <v>0</v>
      </c>
      <c r="E255" s="316">
        <v>0</v>
      </c>
      <c r="F255" s="316">
        <v>0</v>
      </c>
      <c r="G255" s="316">
        <v>0</v>
      </c>
      <c r="H255" s="316">
        <v>0</v>
      </c>
      <c r="I255" s="316">
        <v>0</v>
      </c>
      <c r="J255" s="316">
        <v>0</v>
      </c>
      <c r="K255" s="316">
        <v>0</v>
      </c>
      <c r="Q255" s="173"/>
      <c r="R255" s="118"/>
      <c r="S255" s="53" t="str">
        <f>IF(OR($AD$2&gt;=7,$AD$2&lt;=2),CONCATENATE("FY",$AD$3),IF(AND($AD$2&gt;=3,$AD$2&lt;=6),CONCATENATE("FY",$AD$3+1),"N/A"))</f>
        <v>FY2025</v>
      </c>
      <c r="T255" s="53" t="str">
        <f>IF(OR($AD$2&gt;=7,$AD$2&lt;=2),CONCATENATE("FY",$AD$3+1),IF(AND($AD$2&gt;=3,$AD$2&lt;=6),CONCATENATE("FY",$AD$3+2),"N/A"))</f>
        <v>FY2026</v>
      </c>
      <c r="U255" s="53" t="str">
        <f>IF(OR($AD$2&gt;=7,$AD$2&lt;=2),CONCATENATE("FY",$AD$3+2),IF(AND($AD$2&gt;=3,$AD$2&lt;=6),CONCATENATE("FY",$AD$3+3),"N/A"))</f>
        <v>FY2027</v>
      </c>
      <c r="V255" s="53" t="str">
        <f>IF(OR($AD$2&gt;=7,$AD$2&lt;=2),CONCATENATE("FY",$AD$3+3),IF(AND($AD$2&gt;=3,$AD$2&lt;=6),CONCATENATE("FY",$AD$3+4),"N/A"))</f>
        <v>FY2028</v>
      </c>
      <c r="W255" s="53" t="str">
        <f>IF(OR($AD$2&gt;=7,$AD$2&lt;=2),CONCATENATE("FY",$AD$3+4),IF(AND($AD$2&gt;=3,$AD$2&lt;=6),CONCATENATE("FY",$AD$3+5),"N/A"))</f>
        <v>FY2029</v>
      </c>
      <c r="X255" s="53" t="str">
        <f>IF(OR($AD$2&gt;=7,$AD$2&lt;=2),CONCATENATE("FY",$AD$3+5),IF(AND($AD$2&gt;=3,$AD$2&lt;=6),CONCATENATE("FY",$AD$3+6),"N/A"))</f>
        <v>FY2030</v>
      </c>
      <c r="Y255" s="53" t="str">
        <f>IF(OR($AD$2&gt;=7,$AD$2&lt;=2),CONCATENATE("FY",$AD$3+6),IF(AND($AD$2&gt;=3,$AD$2&lt;=6),CONCATENATE("FY",$AD$3+7),"N/A"))</f>
        <v>FY2031</v>
      </c>
      <c r="Z255" s="53" t="str">
        <f>IF(OR($AD$2&gt;=7,$AD$2&lt;=2),CONCATENATE("FY",$AD$3+7),IF(AND($AD$2&gt;=3,$AD$2&lt;=6),CONCATENATE("FY",$AD$3+8),"N/A"))</f>
        <v>FY2032</v>
      </c>
      <c r="AA255" s="53" t="str">
        <f>IF(OR($AD$2&gt;=7,$AD$2&lt;=2),CONCATENATE("FY",$AD$3+8),IF(AND($AD$2&gt;=3,$AD$2&lt;=6),CONCATENATE("FY",$AD$3+9),"N/A"))</f>
        <v>FY2033</v>
      </c>
      <c r="AB255" s="53" t="str">
        <f>IF(OR($AD$2&gt;=7,$AD$2&lt;=2),CONCATENATE("FY",$AD$3+9),IF(AND($AD$2&gt;=3,$AD$2&lt;=6),CONCATENATE("FY",$AD$3+10),"N/A"))</f>
        <v>FY2034</v>
      </c>
    </row>
    <row r="256" spans="1:30" x14ac:dyDescent="0.25">
      <c r="A256" s="171" t="s">
        <v>66</v>
      </c>
      <c r="B256" s="54">
        <f>ROUND(B253*(B254*B255),0)</f>
        <v>0</v>
      </c>
      <c r="C256" s="54">
        <f t="shared" ref="C256:F256" si="429">ROUND(C253*(C254*C255),0)</f>
        <v>0</v>
      </c>
      <c r="D256" s="54">
        <f t="shared" si="429"/>
        <v>0</v>
      </c>
      <c r="E256" s="54">
        <f t="shared" si="429"/>
        <v>0</v>
      </c>
      <c r="F256" s="54">
        <f t="shared" si="429"/>
        <v>0</v>
      </c>
      <c r="G256" s="54">
        <f t="shared" ref="G256:K256" si="430">ROUND(G253*(G254*G255),0)</f>
        <v>0</v>
      </c>
      <c r="H256" s="54">
        <f t="shared" si="430"/>
        <v>0</v>
      </c>
      <c r="I256" s="54">
        <f t="shared" si="430"/>
        <v>0</v>
      </c>
      <c r="J256" s="54">
        <f t="shared" si="430"/>
        <v>0</v>
      </c>
      <c r="K256" s="54">
        <f t="shared" si="430"/>
        <v>0</v>
      </c>
      <c r="Q256" s="173"/>
      <c r="R256" s="53"/>
      <c r="S256" s="53" t="str">
        <f>IF(AND($AD$2&gt;=1,$AD$2&lt;=6),CONCATENATE("FY",$AD$3+1),IF(AND($AD$2&gt;=7,$AD$2&lt;=9),CONCATENATE("FY",$AD$3),IF(AND($AD$2&gt;=10,$AD$2&lt;=126),CONCATENATE("FY",$AD$3+1),"N/A")))</f>
        <v>FY2026</v>
      </c>
      <c r="T256" s="53" t="str">
        <f>IF(AND($AD$2&gt;=1,$AD$2&lt;=6),CONCATENATE("FY",$AD$3+2),IF(AND($AD$2&gt;=7,$AD$2&lt;=9),CONCATENATE("FY",$AD$3+1),IF(AND($AD$2&gt;=10,$AD$2&lt;=126),CONCATENATE("FY",$AD$3+2),"N/A")))</f>
        <v>FY2027</v>
      </c>
      <c r="U256" s="53" t="str">
        <f>IF(AND($AD$2&gt;=1,$AD$2&lt;=6),CONCATENATE("FY",$AD$3+3),IF(AND($AD$2&gt;=7,$AD$2&lt;=9),CONCATENATE("FY",$AD$3+2),IF(AND($AD$2&gt;=10,$AD$2&lt;=126),CONCATENATE("FY",$AD$3+3),"N/A")))</f>
        <v>FY2028</v>
      </c>
      <c r="V256" s="53" t="str">
        <f>IF(AND($AD$2&gt;=1,$AD$2&lt;=6),CONCATENATE("FY",$AD$3+4),IF(AND($AD$2&gt;=7,$AD$2&lt;=9),CONCATENATE("FY",$AD$3+3),IF(AND($AD$2&gt;=10,$AD$2&lt;=126),CONCATENATE("FY",$AD$3+4),"N/A")))</f>
        <v>FY2029</v>
      </c>
      <c r="W256" s="53" t="str">
        <f>IF(AND($AD$2&gt;=1,$AD$2&lt;=6),CONCATENATE("FY",$AD$3+5),IF(AND($AD$2&gt;=7,$AD$2&lt;=9),CONCATENATE("FY",$AD$3+4),IF(AND($AD$2&gt;=10,$AD$2&lt;=126),CONCATENATE("FY",$AD$3+5),"N/A")))</f>
        <v>FY2030</v>
      </c>
      <c r="X256" s="53" t="str">
        <f>IF(AND($AD$2&gt;=1,$AD$2&lt;=6),CONCATENATE("FY",$AD$3+6),IF(AND($AD$2&gt;=7,$AD$2&lt;=9),CONCATENATE("FY",$AD$3+5),IF(AND($AD$2&gt;=10,$AD$2&lt;=126),CONCATENATE("FY",$AD$3+6),"N/A")))</f>
        <v>FY2031</v>
      </c>
      <c r="Y256" s="53" t="str">
        <f>IF(AND($AD$2&gt;=1,$AD$2&lt;=6),CONCATENATE("FY",$AD$3+6),IF(AND($AD$2&gt;=7,$AD$2&lt;=9),CONCATENATE("FY",$AD$3+6),IF(AND($AD$2&gt;=10,$AD$2&lt;=126),CONCATENATE("FY",$AD$3+7),"N/A")))</f>
        <v>FY2031</v>
      </c>
      <c r="Z256" s="53" t="str">
        <f>IF(AND($AD$2&gt;=1,$AD$2&lt;=6),CONCATENATE("FY",$AD$3+6),IF(AND($AD$2&gt;=7,$AD$2&lt;=9),CONCATENATE("FY",$AD$3+7),IF(AND($AD$2&gt;=10,$AD$2&lt;=126),CONCATENATE("FY",$AD$3+8),"N/A")))</f>
        <v>FY2031</v>
      </c>
      <c r="AA256" s="53" t="str">
        <f>IF(AND($AD$2&gt;=1,$AD$2&lt;=6),CONCATENATE("FY",$AD$3+6),IF(AND($AD$2&gt;=7,$AD$2&lt;=9),CONCATENATE("FY",$AD$3+8),IF(AND($AD$2&gt;=10,$AD$2&lt;=126),CONCATENATE("FY",$AD$3+9),"N/A")))</f>
        <v>FY2031</v>
      </c>
      <c r="AB256" s="53" t="str">
        <f>IF(AND($AD$2&gt;=1,$AD$2&lt;=6),CONCATENATE("FY",$AD$3+6),IF(AND($AD$2&gt;=7,$AD$2&lt;=9),CONCATENATE("FY",$AD$3+9),IF(AND($AD$2&gt;=10,$AD$2&lt;=126),CONCATENATE("FY",$AD$3+10),"N/A")))</f>
        <v>FY2031</v>
      </c>
    </row>
    <row r="257" spans="1:28" ht="15.75" thickBot="1" x14ac:dyDescent="0.3">
      <c r="A257" s="171" t="s">
        <v>58</v>
      </c>
      <c r="B257" s="316">
        <v>0</v>
      </c>
      <c r="C257" s="316">
        <v>0</v>
      </c>
      <c r="D257" s="316">
        <v>0</v>
      </c>
      <c r="E257" s="316">
        <v>0</v>
      </c>
      <c r="F257" s="316">
        <v>0</v>
      </c>
      <c r="G257" s="316">
        <v>0</v>
      </c>
      <c r="H257" s="316">
        <v>0</v>
      </c>
      <c r="I257" s="316">
        <v>0</v>
      </c>
      <c r="J257" s="316">
        <v>0</v>
      </c>
      <c r="K257" s="316">
        <v>0</v>
      </c>
      <c r="Q257" s="173"/>
      <c r="R257" s="422" t="s">
        <v>106</v>
      </c>
      <c r="S257" s="50" t="s">
        <v>1</v>
      </c>
      <c r="T257" s="51" t="s">
        <v>2</v>
      </c>
      <c r="U257" s="51" t="s">
        <v>3</v>
      </c>
      <c r="V257" s="51" t="s">
        <v>39</v>
      </c>
      <c r="W257" s="51" t="s">
        <v>45</v>
      </c>
      <c r="X257" s="51" t="s">
        <v>183</v>
      </c>
      <c r="Y257" s="51" t="s">
        <v>184</v>
      </c>
      <c r="Z257" s="51" t="s">
        <v>185</v>
      </c>
      <c r="AA257" s="51" t="s">
        <v>186</v>
      </c>
      <c r="AB257" s="51" t="s">
        <v>187</v>
      </c>
    </row>
    <row r="258" spans="1:28" x14ac:dyDescent="0.25">
      <c r="A258" s="171" t="s">
        <v>59</v>
      </c>
      <c r="B258" s="316">
        <v>0</v>
      </c>
      <c r="C258" s="316">
        <v>0</v>
      </c>
      <c r="D258" s="316">
        <v>0</v>
      </c>
      <c r="E258" s="316">
        <v>0</v>
      </c>
      <c r="F258" s="316">
        <v>0</v>
      </c>
      <c r="G258" s="316">
        <v>0</v>
      </c>
      <c r="H258" s="316">
        <v>0</v>
      </c>
      <c r="I258" s="316">
        <v>0</v>
      </c>
      <c r="J258" s="316">
        <v>0</v>
      </c>
      <c r="K258" s="316">
        <v>0</v>
      </c>
      <c r="Q258" s="173"/>
      <c r="R258" s="119" t="str">
        <f t="shared" ref="R258:R266" si="431">+R96</f>
        <v>Stipend (Spring)</v>
      </c>
      <c r="S258" s="120">
        <f t="shared" ref="S258:AB258" si="432">IF(RIGHT($R258,8)="(Summer)",ROUND(S242*HLOOKUP(S254,CoPI_2_GRARateTbl,3,FALSE),0))+IF(RIGHT($R258,8)&lt;&gt;"(Summer)",ROUND(S242*HLOOKUP(S254,CoPI_2_GRARateTbl,2,FALSE)/2,0))</f>
        <v>0</v>
      </c>
      <c r="T258" s="120">
        <f t="shared" si="432"/>
        <v>0</v>
      </c>
      <c r="U258" s="120">
        <f t="shared" si="432"/>
        <v>0</v>
      </c>
      <c r="V258" s="120">
        <f t="shared" si="432"/>
        <v>0</v>
      </c>
      <c r="W258" s="120">
        <f t="shared" si="432"/>
        <v>0</v>
      </c>
      <c r="X258" s="120">
        <f t="shared" si="432"/>
        <v>0</v>
      </c>
      <c r="Y258" s="120">
        <f t="shared" si="432"/>
        <v>0</v>
      </c>
      <c r="Z258" s="120">
        <f t="shared" si="432"/>
        <v>0</v>
      </c>
      <c r="AA258" s="120">
        <f t="shared" si="432"/>
        <v>0</v>
      </c>
      <c r="AB258" s="120">
        <f t="shared" si="432"/>
        <v>0</v>
      </c>
    </row>
    <row r="259" spans="1:28" x14ac:dyDescent="0.25">
      <c r="A259" s="171" t="s">
        <v>67</v>
      </c>
      <c r="B259" s="54">
        <f>ROUND(B253*(B257*B258),0)</f>
        <v>0</v>
      </c>
      <c r="C259" s="54">
        <f>ROUND(C253*(C257*C258),0)</f>
        <v>0</v>
      </c>
      <c r="D259" s="54">
        <f>ROUND(D253*(D257*D258),0)</f>
        <v>0</v>
      </c>
      <c r="E259" s="54">
        <f>ROUND(E253*(E257*E258),0)</f>
        <v>0</v>
      </c>
      <c r="F259" s="54">
        <f>ROUND(F253*(F257*F258),0)</f>
        <v>0</v>
      </c>
      <c r="G259" s="54">
        <f t="shared" ref="G259:K259" si="433">ROUND(G253*(G257*G258),0)</f>
        <v>0</v>
      </c>
      <c r="H259" s="54">
        <f t="shared" si="433"/>
        <v>0</v>
      </c>
      <c r="I259" s="54">
        <f t="shared" si="433"/>
        <v>0</v>
      </c>
      <c r="J259" s="54">
        <f t="shared" si="433"/>
        <v>0</v>
      </c>
      <c r="K259" s="54">
        <f t="shared" si="433"/>
        <v>0</v>
      </c>
      <c r="Q259" s="173"/>
      <c r="R259" s="121" t="str">
        <f t="shared" si="431"/>
        <v>Stipend (Summer)</v>
      </c>
      <c r="S259" s="120">
        <f t="shared" ref="S259:AB259" si="434">IF(RIGHT($R259,8)="(Summer)",ROUND(S243*HLOOKUP(S255,CoPI_2_GRARateTbl,3,FALSE),0))+IF(RIGHT($R259,8)&lt;&gt;"(Summer)",ROUND(S243*HLOOKUP(S255,CoPI_2_GRARateTbl,2,FALSE)/2,0))</f>
        <v>0</v>
      </c>
      <c r="T259" s="120">
        <f t="shared" si="434"/>
        <v>0</v>
      </c>
      <c r="U259" s="120">
        <f t="shared" si="434"/>
        <v>0</v>
      </c>
      <c r="V259" s="120">
        <f t="shared" si="434"/>
        <v>0</v>
      </c>
      <c r="W259" s="120">
        <f t="shared" si="434"/>
        <v>0</v>
      </c>
      <c r="X259" s="120">
        <f t="shared" si="434"/>
        <v>0</v>
      </c>
      <c r="Y259" s="120">
        <f t="shared" si="434"/>
        <v>0</v>
      </c>
      <c r="Z259" s="120">
        <f t="shared" si="434"/>
        <v>0</v>
      </c>
      <c r="AA259" s="120">
        <f t="shared" si="434"/>
        <v>0</v>
      </c>
      <c r="AB259" s="120">
        <f t="shared" si="434"/>
        <v>0</v>
      </c>
    </row>
    <row r="260" spans="1:28" x14ac:dyDescent="0.25">
      <c r="A260" s="171" t="s">
        <v>21</v>
      </c>
      <c r="B260" s="110">
        <f>+B256+B259</f>
        <v>0</v>
      </c>
      <c r="C260" s="110">
        <f>+C256+C259</f>
        <v>0</v>
      </c>
      <c r="D260" s="110">
        <f>+D256+D259</f>
        <v>0</v>
      </c>
      <c r="E260" s="110">
        <f>+E256+E259</f>
        <v>0</v>
      </c>
      <c r="F260" s="110">
        <f>+F256+F259</f>
        <v>0</v>
      </c>
      <c r="G260" s="110">
        <f t="shared" ref="G260:K260" si="435">+G256+G259</f>
        <v>0</v>
      </c>
      <c r="H260" s="110">
        <f t="shared" si="435"/>
        <v>0</v>
      </c>
      <c r="I260" s="110">
        <f t="shared" si="435"/>
        <v>0</v>
      </c>
      <c r="J260" s="110">
        <f t="shared" si="435"/>
        <v>0</v>
      </c>
      <c r="K260" s="110">
        <f t="shared" si="435"/>
        <v>0</v>
      </c>
      <c r="Q260" s="173"/>
      <c r="R260" s="121" t="str">
        <f t="shared" si="431"/>
        <v>Stipend (Fall)</v>
      </c>
      <c r="S260" s="120">
        <f t="shared" ref="S260:AB260" si="436">IF(RIGHT($R260,8)="(Summer)",ROUND(S244*HLOOKUP(S256,CoPI_2_GRARateTbl,3,FALSE),0))+IF(RIGHT($R260,8)&lt;&gt;"(Summer)",ROUND(S244*HLOOKUP(S256,CoPI_2_GRARateTbl,2,FALSE)/2,0))</f>
        <v>0</v>
      </c>
      <c r="T260" s="120">
        <f t="shared" si="436"/>
        <v>0</v>
      </c>
      <c r="U260" s="120">
        <f t="shared" si="436"/>
        <v>0</v>
      </c>
      <c r="V260" s="120">
        <f t="shared" si="436"/>
        <v>0</v>
      </c>
      <c r="W260" s="120">
        <f t="shared" si="436"/>
        <v>0</v>
      </c>
      <c r="X260" s="120">
        <f t="shared" si="436"/>
        <v>0</v>
      </c>
      <c r="Y260" s="120">
        <f t="shared" si="436"/>
        <v>0</v>
      </c>
      <c r="Z260" s="120">
        <f t="shared" si="436"/>
        <v>0</v>
      </c>
      <c r="AA260" s="120">
        <f t="shared" si="436"/>
        <v>0</v>
      </c>
      <c r="AB260" s="120">
        <f t="shared" si="436"/>
        <v>0</v>
      </c>
    </row>
    <row r="261" spans="1:28" x14ac:dyDescent="0.25">
      <c r="A261" s="173"/>
      <c r="I261" s="23"/>
      <c r="J261" s="23"/>
      <c r="K261" s="23"/>
      <c r="L261" s="23"/>
      <c r="M261" s="23"/>
      <c r="N261" s="23"/>
      <c r="Q261" s="173"/>
      <c r="R261" s="121" t="str">
        <f t="shared" si="431"/>
        <v>Tuition (Spring)</v>
      </c>
      <c r="S261" s="120">
        <f t="shared" ref="S261:AB261" si="437">IF(RIGHT($R261,8)="(Summer)",0,ROUND(S242*HLOOKUP(S254,CoPI_2_GRARateTbl,5,FALSE)/2,0))</f>
        <v>0</v>
      </c>
      <c r="T261" s="120">
        <f t="shared" si="437"/>
        <v>0</v>
      </c>
      <c r="U261" s="120">
        <f t="shared" si="437"/>
        <v>0</v>
      </c>
      <c r="V261" s="120">
        <f t="shared" si="437"/>
        <v>0</v>
      </c>
      <c r="W261" s="120">
        <f t="shared" si="437"/>
        <v>0</v>
      </c>
      <c r="X261" s="120">
        <f t="shared" si="437"/>
        <v>0</v>
      </c>
      <c r="Y261" s="120">
        <f t="shared" si="437"/>
        <v>0</v>
      </c>
      <c r="Z261" s="120">
        <f t="shared" si="437"/>
        <v>0</v>
      </c>
      <c r="AA261" s="120">
        <f t="shared" si="437"/>
        <v>0</v>
      </c>
      <c r="AB261" s="120">
        <f t="shared" si="437"/>
        <v>0</v>
      </c>
    </row>
    <row r="262" spans="1:28" x14ac:dyDescent="0.25">
      <c r="A262" s="174" t="s">
        <v>88</v>
      </c>
      <c r="B262" s="104" t="str">
        <f t="shared" ref="B262:L262" si="438">IF(AND(B263=$AE$5,$O264=9),$AE$3,IF(AND(B263=$AF$5,$O264=9),$AF$3,IF(AND(B263=$AG$5,$O264=9),$AG$3,IF(AND(B263=$AH$5,$O264=9),$AH$3,IF(AND(B263=$AI$5,$O264=9),$AI$3,IF(AND(B263=$AJ$5,$O264=9),$AJ$3,IF(AND(B263=$AK$5,$O264=9),$AK$3,IF(AND(B263=$AL$5,$O264=9),$AL$3,IF(AND(B263=$AM$5,$O264=9),$AM$3,IF(AND(B263=$AN$5,$O264=9),$AN$3,IF(AND(B263=$AO$5,$O264=9),$AO$3,IF(AND(B263=$AP$5,$O264=9),$AJ$3,IF(AND(B263=$AE$4,$O264=12),$AE$3,IF(AND(B263=$AF$4,$O264=12),$AF$3,IF(AND(B263=$AG$4,$O264=12),$AG$3,IF(AND(B263=$AH$4,$O264=12),$AH$3,IF(AND(B263=$AI$4,$O264=12),$AI$3,IF(AND(B263=$AJ$4,$O264=12),$AJ$3,IF(AND(B263=$AK$4,$O264=12),$AK$3,IF(AND(B263=$AL$4,$O264=12),$AL$3,IF(AND(B263=$AM$4,$O264=12),$AM$3,IF(AND(B263=$AN$4,$O264=12),$AN$3,IF(AND(B263=$AO$4,$O264=12),$AO$3,IF(AND(B263=$AP$4,$O264=12),$AJ$3," "))))))))))))))))))))))))</f>
        <v>Year 1</v>
      </c>
      <c r="C262" s="104" t="str">
        <f t="shared" si="438"/>
        <v>Year 2</v>
      </c>
      <c r="D262" s="104" t="str">
        <f t="shared" si="438"/>
        <v>Year 3</v>
      </c>
      <c r="E262" s="104" t="str">
        <f t="shared" si="438"/>
        <v>Year 4</v>
      </c>
      <c r="F262" s="104" t="str">
        <f t="shared" si="438"/>
        <v>Year 5</v>
      </c>
      <c r="G262" s="104" t="str">
        <f t="shared" si="438"/>
        <v>Year 6</v>
      </c>
      <c r="H262" s="104" t="str">
        <f t="shared" si="438"/>
        <v>Year 7</v>
      </c>
      <c r="I262" s="104" t="str">
        <f t="shared" si="438"/>
        <v>Year 8</v>
      </c>
      <c r="J262" s="104" t="str">
        <f t="shared" si="438"/>
        <v>Year 9</v>
      </c>
      <c r="K262" s="104" t="str">
        <f t="shared" si="438"/>
        <v>Year 10</v>
      </c>
      <c r="L262" s="104" t="str">
        <f t="shared" si="438"/>
        <v>Year 11</v>
      </c>
      <c r="M262" s="104" t="str">
        <f t="shared" ref="M262" si="439">IF(AND(M263=$AE$5,$O264=9),$AE$3,IF(AND(M263=$AF$5,$O264=9),$AF$3,IF(AND(M263=$AG$5,$O264=9),$AG$3,IF(AND(M263=$AH$5,$O264=9),$AH$3,IF(AND(M263=$AI$5,$O264=9),$AI$3,IF(AND(M263=$AJ$5,$O264=9),$AJ$3,IF(AND(M263=$AK$5,$O264=9),$AK$3,IF(AND(M263=$AL$5,$O264=9),$AL$3,IF(AND(M263=$AM$5,$O264=9),$AM$3,IF(AND(M263=$AN$5,$O264=9),$AN$3,IF(AND(M263=$AO$5,$O264=9),$AO$3,IF(AND(M263=$AP$5,$O264=9),$AJ$3,IF(AND(M263=$AE$4,$O264=12),$AE$3,IF(AND(M263=$AF$4,$O264=12),$AF$3,IF(AND(M263=$AG$4,$O264=12),$AG$3,IF(AND(M263=$AH$4,$O264=12),$AH$3,IF(AND(M263=$AI$4,$O264=12),$AI$3,IF(AND(M263=$AJ$4,$O264=12),$AJ$3,IF(AND(M263=$AK$4,$O264=12),$AK$3,IF(AND(M263=$AL$4,$O264=12),$AL$3,IF(AND(M263=$AM$4,$O264=12),$AM$3,IF(AND(M263=$AN$4,$O264=12),$AN$3,IF(AND(M263=$AO$4,$O264=12),$AO$3,IF(AND(M263=$AP$4,$O264=12),$AJ$3," "))))))))))))))))))))))))</f>
        <v>Year 6</v>
      </c>
      <c r="N262" s="104"/>
      <c r="Q262" s="173"/>
      <c r="R262" s="121" t="str">
        <f t="shared" si="431"/>
        <v>Tuition (Summer)</v>
      </c>
      <c r="S262" s="120">
        <f t="shared" ref="S262:AB262" si="440">IF(RIGHT($R262,8)="(Summer)",0,ROUND(S243*HLOOKUP(S255,CoPI_2_GRARateTbl,5,FALSE)/2,0))</f>
        <v>0</v>
      </c>
      <c r="T262" s="120">
        <f t="shared" si="440"/>
        <v>0</v>
      </c>
      <c r="U262" s="120">
        <f t="shared" si="440"/>
        <v>0</v>
      </c>
      <c r="V262" s="120">
        <f t="shared" si="440"/>
        <v>0</v>
      </c>
      <c r="W262" s="120">
        <f t="shared" si="440"/>
        <v>0</v>
      </c>
      <c r="X262" s="120">
        <f t="shared" si="440"/>
        <v>0</v>
      </c>
      <c r="Y262" s="120">
        <f t="shared" si="440"/>
        <v>0</v>
      </c>
      <c r="Z262" s="120">
        <f t="shared" si="440"/>
        <v>0</v>
      </c>
      <c r="AA262" s="120">
        <f t="shared" si="440"/>
        <v>0</v>
      </c>
      <c r="AB262" s="120">
        <f t="shared" si="440"/>
        <v>0</v>
      </c>
    </row>
    <row r="263" spans="1:28" x14ac:dyDescent="0.25">
      <c r="A263" s="327" t="s">
        <v>29</v>
      </c>
      <c r="B263" s="55" t="str">
        <f t="shared" ref="B263:I263" si="441">+N$2</f>
        <v>FY2025</v>
      </c>
      <c r="C263" s="55" t="str">
        <f t="shared" si="441"/>
        <v>FY2026</v>
      </c>
      <c r="D263" s="55" t="str">
        <f t="shared" si="441"/>
        <v>FY2027</v>
      </c>
      <c r="E263" s="55" t="str">
        <f t="shared" si="441"/>
        <v>FY2028</v>
      </c>
      <c r="F263" s="55" t="str">
        <f t="shared" si="441"/>
        <v>FY2029</v>
      </c>
      <c r="G263" s="55" t="str">
        <f t="shared" si="441"/>
        <v>FY2030</v>
      </c>
      <c r="H263" s="55" t="str">
        <f t="shared" si="441"/>
        <v>FY2031</v>
      </c>
      <c r="I263" s="55" t="str">
        <f t="shared" si="441"/>
        <v>FY2032</v>
      </c>
      <c r="J263" s="55" t="str">
        <f t="shared" ref="J263" si="442">+V$2</f>
        <v>FY2033</v>
      </c>
      <c r="K263" s="55" t="str">
        <f t="shared" ref="K263:M263" si="443">+W$2</f>
        <v>FY2034</v>
      </c>
      <c r="L263" s="55" t="str">
        <f t="shared" si="443"/>
        <v>FY2035</v>
      </c>
      <c r="M263" s="55" t="str">
        <f t="shared" si="443"/>
        <v>FY2036</v>
      </c>
      <c r="N263" s="55"/>
      <c r="O263" s="32" t="s">
        <v>20</v>
      </c>
      <c r="P263" s="89"/>
      <c r="Q263" s="185"/>
      <c r="R263" s="121" t="str">
        <f t="shared" si="431"/>
        <v>Tuition (Fall)</v>
      </c>
      <c r="S263" s="120">
        <f t="shared" ref="S263:AB263" si="444">IF(RIGHT($R263,8)="(Summer)",0,ROUND(S244*HLOOKUP(S256,CoPI_2_GRARateTbl,5,FALSE)/2,0))</f>
        <v>0</v>
      </c>
      <c r="T263" s="120">
        <f t="shared" si="444"/>
        <v>0</v>
      </c>
      <c r="U263" s="120">
        <f t="shared" si="444"/>
        <v>0</v>
      </c>
      <c r="V263" s="120">
        <f t="shared" si="444"/>
        <v>0</v>
      </c>
      <c r="W263" s="120">
        <f t="shared" si="444"/>
        <v>0</v>
      </c>
      <c r="X263" s="120">
        <f t="shared" si="444"/>
        <v>0</v>
      </c>
      <c r="Y263" s="120">
        <f t="shared" si="444"/>
        <v>0</v>
      </c>
      <c r="Z263" s="120">
        <f t="shared" si="444"/>
        <v>0</v>
      </c>
      <c r="AA263" s="120">
        <f t="shared" si="444"/>
        <v>0</v>
      </c>
      <c r="AB263" s="120">
        <f t="shared" si="444"/>
        <v>0</v>
      </c>
    </row>
    <row r="264" spans="1:28" x14ac:dyDescent="0.25">
      <c r="A264" s="171" t="str">
        <f>CONCATENATE("Base Salary: ",O264," month term")</f>
        <v>Base Salary: 12 month term</v>
      </c>
      <c r="B264" s="442">
        <v>0</v>
      </c>
      <c r="C264" s="443">
        <f t="shared" ref="C264:M264" si="445">ROUND(+B264*(1+(HLOOKUP(C263,FringeAndIDCRates,11,FALSE))),0)</f>
        <v>0</v>
      </c>
      <c r="D264" s="443">
        <f t="shared" si="445"/>
        <v>0</v>
      </c>
      <c r="E264" s="443">
        <f t="shared" si="445"/>
        <v>0</v>
      </c>
      <c r="F264" s="443">
        <f t="shared" si="445"/>
        <v>0</v>
      </c>
      <c r="G264" s="443">
        <f t="shared" si="445"/>
        <v>0</v>
      </c>
      <c r="H264" s="443">
        <f t="shared" si="445"/>
        <v>0</v>
      </c>
      <c r="I264" s="443">
        <f t="shared" si="445"/>
        <v>0</v>
      </c>
      <c r="J264" s="443">
        <f t="shared" si="445"/>
        <v>0</v>
      </c>
      <c r="K264" s="443">
        <f t="shared" si="445"/>
        <v>0</v>
      </c>
      <c r="L264" s="443">
        <f t="shared" si="445"/>
        <v>0</v>
      </c>
      <c r="M264" s="443">
        <f t="shared" si="445"/>
        <v>0</v>
      </c>
      <c r="N264" s="109"/>
      <c r="O264" s="310">
        <v>12</v>
      </c>
      <c r="P264" s="311"/>
      <c r="Q264" s="187"/>
      <c r="R264" s="121" t="str">
        <f t="shared" si="431"/>
        <v>Health Insurance (Spring)</v>
      </c>
      <c r="S264" s="120">
        <f t="shared" ref="S264:AB264" si="446">IF(RIGHT($R264,8)="(Summer)",0,ROUND(S242*HLOOKUP(S254,CoPI_2_GRARateTbl,6,FALSE)/2,0))</f>
        <v>0</v>
      </c>
      <c r="T264" s="120">
        <f t="shared" si="446"/>
        <v>0</v>
      </c>
      <c r="U264" s="120">
        <f t="shared" si="446"/>
        <v>0</v>
      </c>
      <c r="V264" s="120">
        <f t="shared" si="446"/>
        <v>0</v>
      </c>
      <c r="W264" s="120">
        <f t="shared" si="446"/>
        <v>0</v>
      </c>
      <c r="X264" s="120">
        <f t="shared" si="446"/>
        <v>0</v>
      </c>
      <c r="Y264" s="120">
        <f t="shared" si="446"/>
        <v>0</v>
      </c>
      <c r="Z264" s="120">
        <f t="shared" si="446"/>
        <v>0</v>
      </c>
      <c r="AA264" s="120">
        <f t="shared" si="446"/>
        <v>0</v>
      </c>
      <c r="AB264" s="120">
        <f t="shared" si="446"/>
        <v>0</v>
      </c>
    </row>
    <row r="265" spans="1:28" x14ac:dyDescent="0.25">
      <c r="A265" s="171" t="s">
        <v>44</v>
      </c>
      <c r="B265" s="312">
        <v>0</v>
      </c>
      <c r="C265" s="312">
        <v>0</v>
      </c>
      <c r="D265" s="312">
        <v>0</v>
      </c>
      <c r="E265" s="312">
        <v>0</v>
      </c>
      <c r="F265" s="312">
        <v>0</v>
      </c>
      <c r="G265" s="312">
        <v>0</v>
      </c>
      <c r="H265" s="312">
        <v>0</v>
      </c>
      <c r="I265" s="312">
        <v>0</v>
      </c>
      <c r="J265" s="312">
        <v>0</v>
      </c>
      <c r="K265" s="312">
        <v>0</v>
      </c>
      <c r="L265" s="312">
        <v>0</v>
      </c>
      <c r="M265" s="312">
        <v>0</v>
      </c>
      <c r="N265" s="400"/>
      <c r="O265" s="25"/>
      <c r="P265" s="25"/>
      <c r="Q265" s="171"/>
      <c r="R265" s="121" t="str">
        <f t="shared" si="431"/>
        <v>Health Insurance (Summer)</v>
      </c>
      <c r="S265" s="120">
        <f t="shared" ref="S265:AB265" si="447">IF(RIGHT($R265,8)="(Summer)",0,ROUND(S243*HLOOKUP(S255,CoPI_2_GRARateTbl,6,FALSE)/2,0))</f>
        <v>0</v>
      </c>
      <c r="T265" s="120">
        <f t="shared" si="447"/>
        <v>0</v>
      </c>
      <c r="U265" s="120">
        <f t="shared" si="447"/>
        <v>0</v>
      </c>
      <c r="V265" s="120">
        <f t="shared" si="447"/>
        <v>0</v>
      </c>
      <c r="W265" s="120">
        <f t="shared" si="447"/>
        <v>0</v>
      </c>
      <c r="X265" s="120">
        <f t="shared" si="447"/>
        <v>0</v>
      </c>
      <c r="Y265" s="120">
        <f t="shared" si="447"/>
        <v>0</v>
      </c>
      <c r="Z265" s="120">
        <f t="shared" si="447"/>
        <v>0</v>
      </c>
      <c r="AA265" s="120">
        <f t="shared" si="447"/>
        <v>0</v>
      </c>
      <c r="AB265" s="120">
        <f t="shared" si="447"/>
        <v>0</v>
      </c>
    </row>
    <row r="266" spans="1:28" x14ac:dyDescent="0.25">
      <c r="A266" s="171" t="str">
        <f>CONCATENATE("FTE for ",O264," Months")</f>
        <v>FTE for 12 Months</v>
      </c>
      <c r="B266" s="393">
        <f t="shared" ref="B266:L266" si="448">+B265/$O264</f>
        <v>0</v>
      </c>
      <c r="C266" s="393">
        <f t="shared" si="448"/>
        <v>0</v>
      </c>
      <c r="D266" s="393">
        <f t="shared" si="448"/>
        <v>0</v>
      </c>
      <c r="E266" s="393">
        <f t="shared" si="448"/>
        <v>0</v>
      </c>
      <c r="F266" s="393">
        <f t="shared" si="448"/>
        <v>0</v>
      </c>
      <c r="G266" s="393">
        <f t="shared" si="448"/>
        <v>0</v>
      </c>
      <c r="H266" s="393">
        <f t="shared" si="448"/>
        <v>0</v>
      </c>
      <c r="I266" s="393">
        <f t="shared" si="448"/>
        <v>0</v>
      </c>
      <c r="J266" s="393">
        <f t="shared" si="448"/>
        <v>0</v>
      </c>
      <c r="K266" s="393">
        <f t="shared" si="448"/>
        <v>0</v>
      </c>
      <c r="L266" s="393">
        <f t="shared" si="448"/>
        <v>0</v>
      </c>
      <c r="M266" s="393">
        <f t="shared" ref="M266" si="449">+M265/$O264</f>
        <v>0</v>
      </c>
      <c r="N266" s="401"/>
      <c r="O266" s="89"/>
      <c r="P266" s="89"/>
      <c r="Q266" s="185"/>
      <c r="R266" s="121" t="str">
        <f t="shared" si="431"/>
        <v>Health Insurance (Fall)</v>
      </c>
      <c r="S266" s="120">
        <f t="shared" ref="S266:AB266" si="450">IF(RIGHT($R266,8)="(Summer)",0,ROUND(S244*HLOOKUP(S256,CoPI_2_GRARateTbl,6,FALSE)/2,0))</f>
        <v>0</v>
      </c>
      <c r="T266" s="120">
        <f t="shared" si="450"/>
        <v>0</v>
      </c>
      <c r="U266" s="120">
        <f t="shared" si="450"/>
        <v>0</v>
      </c>
      <c r="V266" s="120">
        <f t="shared" si="450"/>
        <v>0</v>
      </c>
      <c r="W266" s="120">
        <f t="shared" si="450"/>
        <v>0</v>
      </c>
      <c r="X266" s="120">
        <f t="shared" si="450"/>
        <v>0</v>
      </c>
      <c r="Y266" s="120">
        <f t="shared" si="450"/>
        <v>0</v>
      </c>
      <c r="Z266" s="120">
        <f t="shared" si="450"/>
        <v>0</v>
      </c>
      <c r="AA266" s="120">
        <f t="shared" si="450"/>
        <v>0</v>
      </c>
      <c r="AB266" s="120">
        <f t="shared" si="450"/>
        <v>0</v>
      </c>
    </row>
    <row r="267" spans="1:28" ht="15.75" thickBot="1" x14ac:dyDescent="0.3">
      <c r="A267" s="171" t="s">
        <v>21</v>
      </c>
      <c r="B267" s="110">
        <f t="shared" ref="B267:K267" si="451">ROUND((B264*B266*$Q$41)+(C264*B266*$Q$42),0)</f>
        <v>0</v>
      </c>
      <c r="C267" s="110">
        <f t="shared" si="451"/>
        <v>0</v>
      </c>
      <c r="D267" s="110">
        <f t="shared" si="451"/>
        <v>0</v>
      </c>
      <c r="E267" s="110">
        <f t="shared" si="451"/>
        <v>0</v>
      </c>
      <c r="F267" s="110">
        <f t="shared" si="451"/>
        <v>0</v>
      </c>
      <c r="G267" s="110">
        <f t="shared" si="451"/>
        <v>0</v>
      </c>
      <c r="H267" s="110">
        <f t="shared" si="451"/>
        <v>0</v>
      </c>
      <c r="I267" s="110">
        <f t="shared" si="451"/>
        <v>0</v>
      </c>
      <c r="J267" s="110">
        <f t="shared" si="451"/>
        <v>0</v>
      </c>
      <c r="K267" s="110">
        <f t="shared" si="451"/>
        <v>0</v>
      </c>
      <c r="L267" s="110">
        <f>ROUND((L264*L266*$Q$41)+(N264*L266*$Q$42),0)</f>
        <v>0</v>
      </c>
      <c r="M267" s="110">
        <f>ROUND((M264*M266*$Q$41)+(O264*M266*$Q$42),0)</f>
        <v>0</v>
      </c>
      <c r="N267" s="402"/>
      <c r="O267" s="89"/>
      <c r="P267" s="89"/>
      <c r="Q267" s="185"/>
      <c r="R267" s="38" t="s">
        <v>31</v>
      </c>
      <c r="S267" s="39">
        <f>SUM(S258:S266)</f>
        <v>0</v>
      </c>
      <c r="T267" s="39">
        <f>SUM(T258:T266)</f>
        <v>0</v>
      </c>
      <c r="U267" s="39">
        <f>SUM(U258:U266)</f>
        <v>0</v>
      </c>
      <c r="V267" s="39">
        <f>SUM(V258:V266)</f>
        <v>0</v>
      </c>
      <c r="W267" s="39">
        <f t="shared" ref="W267" si="452">SUM(W258:W266)</f>
        <v>0</v>
      </c>
      <c r="X267" s="39">
        <f t="shared" ref="X267" si="453">SUM(X258:X266)</f>
        <v>0</v>
      </c>
      <c r="Y267" s="39">
        <f t="shared" ref="Y267" si="454">SUM(Y258:Y266)</f>
        <v>0</v>
      </c>
      <c r="Z267" s="39">
        <f t="shared" ref="Z267" si="455">SUM(Z258:Z266)</f>
        <v>0</v>
      </c>
      <c r="AA267" s="39">
        <f t="shared" ref="AA267" si="456">SUM(AA258:AA266)</f>
        <v>0</v>
      </c>
      <c r="AB267" s="39">
        <f t="shared" ref="AB267" si="457">SUM(AB258:AB266)</f>
        <v>0</v>
      </c>
    </row>
    <row r="270" spans="1:28" x14ac:dyDescent="0.25">
      <c r="A270" s="194" t="str">
        <f ca="1">+A17</f>
        <v>Co-PI Budget (3)</v>
      </c>
      <c r="B270" s="195"/>
      <c r="C270" s="195"/>
      <c r="D270" s="195"/>
      <c r="E270" s="195"/>
      <c r="F270" s="195"/>
      <c r="G270" s="195"/>
      <c r="H270" s="195"/>
      <c r="I270" s="195"/>
      <c r="J270" s="195"/>
      <c r="K270" s="195"/>
      <c r="L270" s="195"/>
      <c r="M270" s="195"/>
      <c r="N270" s="195"/>
      <c r="O270" s="195"/>
    </row>
    <row r="271" spans="1:28" x14ac:dyDescent="0.25">
      <c r="A271" s="137" t="s">
        <v>50</v>
      </c>
      <c r="B271" s="210" t="str">
        <f>+B17</f>
        <v>Co-PI</v>
      </c>
      <c r="C271" s="195"/>
      <c r="D271" s="195"/>
      <c r="E271" s="195"/>
      <c r="F271" s="195"/>
      <c r="G271" s="195"/>
      <c r="H271" s="195"/>
      <c r="I271" s="195"/>
      <c r="J271" s="195"/>
      <c r="K271" s="195"/>
      <c r="L271" s="195"/>
      <c r="M271" s="195"/>
      <c r="N271" s="195"/>
      <c r="O271" s="195"/>
    </row>
    <row r="272" spans="1:28" x14ac:dyDescent="0.25">
      <c r="A272" s="137" t="s">
        <v>53</v>
      </c>
      <c r="B272" s="328" t="s">
        <v>57</v>
      </c>
      <c r="C272" s="195"/>
      <c r="D272" s="195"/>
      <c r="E272" s="195"/>
      <c r="F272" s="195"/>
      <c r="G272" s="195"/>
      <c r="H272" s="195"/>
      <c r="I272" s="195"/>
      <c r="J272" s="195"/>
      <c r="K272" s="195"/>
      <c r="L272" s="195"/>
      <c r="M272" s="195"/>
      <c r="N272" s="195"/>
      <c r="O272" s="195"/>
    </row>
    <row r="273" spans="1:17" x14ac:dyDescent="0.25">
      <c r="A273" s="137" t="s">
        <v>53</v>
      </c>
      <c r="B273" s="328" t="s">
        <v>57</v>
      </c>
      <c r="C273" s="195"/>
      <c r="D273" s="195"/>
      <c r="E273" s="195"/>
      <c r="F273" s="195"/>
      <c r="G273" s="195"/>
      <c r="H273" s="195"/>
      <c r="I273" s="195"/>
      <c r="J273" s="195"/>
      <c r="K273" s="195"/>
      <c r="L273" s="195"/>
      <c r="M273" s="195"/>
      <c r="N273" s="195"/>
      <c r="O273" s="195"/>
    </row>
    <row r="274" spans="1:17" x14ac:dyDescent="0.25">
      <c r="A274" s="137" t="s">
        <v>113</v>
      </c>
      <c r="B274" s="329" t="s">
        <v>95</v>
      </c>
      <c r="C274" s="195"/>
      <c r="D274" s="195"/>
      <c r="E274" s="195"/>
      <c r="F274" s="195"/>
      <c r="G274" s="195"/>
      <c r="H274" s="195"/>
      <c r="I274" s="195"/>
      <c r="J274" s="195"/>
      <c r="K274" s="195"/>
      <c r="L274" s="195"/>
      <c r="M274" s="195"/>
      <c r="N274" s="195"/>
      <c r="O274" s="195"/>
    </row>
    <row r="275" spans="1:17" x14ac:dyDescent="0.25">
      <c r="A275" s="137" t="s">
        <v>134</v>
      </c>
      <c r="B275" s="329" t="str">
        <f>+$B$32</f>
        <v>On</v>
      </c>
      <c r="C275" s="195"/>
      <c r="D275" s="195"/>
      <c r="E275" s="195"/>
      <c r="F275" s="195"/>
      <c r="G275" s="195"/>
      <c r="H275" s="195"/>
      <c r="I275" s="195"/>
      <c r="J275" s="195"/>
      <c r="K275" s="195"/>
      <c r="L275" s="195"/>
      <c r="M275" s="195"/>
      <c r="N275" s="195"/>
      <c r="O275" s="195"/>
    </row>
    <row r="276" spans="1:17" x14ac:dyDescent="0.25">
      <c r="A276" s="195"/>
      <c r="B276" s="195"/>
      <c r="C276" s="195"/>
      <c r="D276" s="195"/>
      <c r="E276" s="195"/>
      <c r="F276" s="195"/>
      <c r="G276" s="195"/>
      <c r="H276" s="195"/>
      <c r="I276" s="195"/>
      <c r="J276" s="195"/>
      <c r="K276" s="195"/>
      <c r="L276" s="195"/>
      <c r="M276" s="195"/>
      <c r="N276" s="195"/>
      <c r="O276" s="195"/>
    </row>
    <row r="277" spans="1:17" x14ac:dyDescent="0.25">
      <c r="A277" s="137" t="s">
        <v>97</v>
      </c>
      <c r="B277" s="330" t="s">
        <v>95</v>
      </c>
      <c r="C277" s="195"/>
      <c r="D277" s="195"/>
      <c r="E277" s="195"/>
      <c r="F277" s="195"/>
      <c r="G277" s="195"/>
      <c r="H277" s="195"/>
      <c r="I277" s="195"/>
      <c r="J277" s="195"/>
      <c r="K277" s="195"/>
      <c r="L277" s="195"/>
      <c r="M277" s="195"/>
      <c r="N277" s="195"/>
      <c r="O277" s="195"/>
    </row>
    <row r="278" spans="1:17" x14ac:dyDescent="0.25">
      <c r="A278" s="137" t="s">
        <v>98</v>
      </c>
      <c r="B278" s="330" t="s">
        <v>95</v>
      </c>
      <c r="C278" s="195"/>
      <c r="D278" s="195"/>
      <c r="E278" s="195"/>
      <c r="F278" s="195"/>
      <c r="G278" s="195"/>
      <c r="H278" s="195"/>
      <c r="I278" s="195"/>
      <c r="J278" s="195"/>
      <c r="K278" s="195"/>
      <c r="L278" s="195"/>
      <c r="M278" s="195"/>
      <c r="N278" s="195"/>
      <c r="O278" s="195"/>
    </row>
    <row r="279" spans="1:17" x14ac:dyDescent="0.25">
      <c r="A279" s="195"/>
      <c r="B279" s="196"/>
      <c r="C279" s="195"/>
      <c r="D279" s="195"/>
      <c r="E279" s="195"/>
      <c r="F279" s="195"/>
      <c r="G279" s="195"/>
      <c r="H279" s="195"/>
      <c r="I279" s="197"/>
      <c r="J279" s="197"/>
      <c r="K279" s="197"/>
      <c r="L279" s="197"/>
      <c r="M279" s="197"/>
      <c r="N279" s="197"/>
      <c r="O279" s="197"/>
      <c r="Q279" s="102"/>
    </row>
    <row r="280" spans="1:17" x14ac:dyDescent="0.25">
      <c r="A280" s="137" t="s">
        <v>100</v>
      </c>
      <c r="B280" s="198" t="str">
        <f>+$B$37</f>
        <v>FY2025</v>
      </c>
      <c r="C280" s="198" t="str">
        <f>+$C$37</f>
        <v>FY2026</v>
      </c>
      <c r="D280" s="198" t="str">
        <f>+$D$37</f>
        <v>FY2027</v>
      </c>
      <c r="E280" s="198" t="str">
        <f>+$E$37</f>
        <v>FY2028</v>
      </c>
      <c r="F280" s="198" t="str">
        <f>+$F$37</f>
        <v>FY2029</v>
      </c>
      <c r="G280" s="198" t="str">
        <f>+$G$37</f>
        <v>FY2030</v>
      </c>
      <c r="H280" s="198" t="str">
        <f>+$H$37</f>
        <v>FY2031</v>
      </c>
      <c r="I280" s="198" t="str">
        <f>CONCATENATE("FY",$AD$3+7)</f>
        <v>FY2032</v>
      </c>
      <c r="J280" s="198" t="str">
        <f>CONCATENATE("FY",$AD$3+8)</f>
        <v>FY2033</v>
      </c>
      <c r="K280" s="198" t="str">
        <f>CONCATENATE("FY",$AD$3+9)</f>
        <v>FY2034</v>
      </c>
      <c r="L280" s="198" t="str">
        <f>CONCATENATE("FY",$AD$3+10)</f>
        <v>FY2035</v>
      </c>
      <c r="M280" s="198" t="str">
        <f>CONCATENATE("FY",$AD$3+11)</f>
        <v>FY2036</v>
      </c>
      <c r="N280" s="197"/>
      <c r="O280" s="197"/>
      <c r="Q280" s="102"/>
    </row>
    <row r="281" spans="1:17" x14ac:dyDescent="0.25">
      <c r="A281" s="137" t="str">
        <f>IF(AND(B274="Contract College",B$6="Federal"),"   Contract (Federal) - Senior Personnel",IF(AND(B274="Contract College",B$6="Non-federal"),"   Contract (Non-federal) - Senior Personnel","   Endowed - Senior Personnel"))</f>
        <v xml:space="preserve">   Endowed - Senior Personnel</v>
      </c>
      <c r="B281" s="397">
        <f t="shared" ref="B281:M281" si="458">IF(AND($B274="Contract College",$B$6="Federal"),HLOOKUP(B280,FringeAndIDCRates,2,FALSE),IF(AND($B274="Contract College",$B$6="Non-Federal"),HLOOKUP(B280,FringeAndIDCRates,3,FALSE),HLOOKUP(B280,FringeAndIDCRates,4,FALSE)))</f>
        <v>0.35</v>
      </c>
      <c r="C281" s="397">
        <f t="shared" si="458"/>
        <v>0.35</v>
      </c>
      <c r="D281" s="397">
        <f t="shared" si="458"/>
        <v>0.35499999999999998</v>
      </c>
      <c r="E281" s="397">
        <f t="shared" si="458"/>
        <v>0.37</v>
      </c>
      <c r="F281" s="397">
        <f t="shared" si="458"/>
        <v>0.37</v>
      </c>
      <c r="G281" s="397">
        <f t="shared" si="458"/>
        <v>0.37</v>
      </c>
      <c r="H281" s="397">
        <f t="shared" si="458"/>
        <v>0.37</v>
      </c>
      <c r="I281" s="397">
        <f t="shared" si="458"/>
        <v>0.37</v>
      </c>
      <c r="J281" s="397">
        <f t="shared" si="458"/>
        <v>0.37</v>
      </c>
      <c r="K281" s="397">
        <f t="shared" si="458"/>
        <v>0.37</v>
      </c>
      <c r="L281" s="397">
        <f t="shared" si="458"/>
        <v>0.37</v>
      </c>
      <c r="M281" s="397">
        <f t="shared" si="458"/>
        <v>0.37</v>
      </c>
      <c r="N281" s="197"/>
      <c r="O281" s="197"/>
      <c r="Q281" s="102"/>
    </row>
    <row r="282" spans="1:17" x14ac:dyDescent="0.25">
      <c r="A282" s="137" t="str">
        <f>IF(AND(B$6="Federal",B277="Contract College"),"   Contract (Federal) - Post Doc",IF(AND(B$6="Non-federal",B277="Contract College"),"   Contract (Non-federal) - Post Doc","   Endowed - Post Doc"))</f>
        <v xml:space="preserve">   Endowed - Post Doc</v>
      </c>
      <c r="B282" s="397">
        <f t="shared" ref="B282:M282" si="459">IF($B277="Endowed College",HLOOKUP(B$37,FringeAndIDCRates,4,FALSE),IF($B$6="Federal",HLOOKUP(B$37,FringeAndIDCRates,2,FALSE),IF($B$6="Non-Federal",HLOOKUP(B$37,FringeAndIDCRates,3,FALSE))))</f>
        <v>0.35</v>
      </c>
      <c r="C282" s="397">
        <f t="shared" si="459"/>
        <v>0.35</v>
      </c>
      <c r="D282" s="397">
        <f t="shared" si="459"/>
        <v>0.35499999999999998</v>
      </c>
      <c r="E282" s="397">
        <f t="shared" si="459"/>
        <v>0.37</v>
      </c>
      <c r="F282" s="397">
        <f t="shared" si="459"/>
        <v>0.37</v>
      </c>
      <c r="G282" s="397">
        <f t="shared" si="459"/>
        <v>0.37</v>
      </c>
      <c r="H282" s="397">
        <f t="shared" si="459"/>
        <v>0.37</v>
      </c>
      <c r="I282" s="397">
        <f t="shared" si="459"/>
        <v>0.37</v>
      </c>
      <c r="J282" s="397">
        <f t="shared" si="459"/>
        <v>0.37</v>
      </c>
      <c r="K282" s="397">
        <f t="shared" si="459"/>
        <v>0.37</v>
      </c>
      <c r="L282" s="397">
        <f t="shared" si="459"/>
        <v>0.37</v>
      </c>
      <c r="M282" s="397">
        <f t="shared" si="459"/>
        <v>0.37</v>
      </c>
      <c r="N282" s="197"/>
      <c r="O282" s="197"/>
      <c r="Q282" s="102"/>
    </row>
    <row r="283" spans="1:17" x14ac:dyDescent="0.25">
      <c r="A283" s="137" t="str">
        <f>IF(AND(B$6="Federal",B278="Contract College"),"   Contract (Federal) - Other Employee",IF(AND(B$6="Non-federal",B278="Contract College"),"   Contract (Non-federal) - Other Empolyee","   Endowed - Other Employee"))</f>
        <v xml:space="preserve">   Endowed - Other Employee</v>
      </c>
      <c r="B283" s="397">
        <f t="shared" ref="B283:M283" si="460">IF($B278="Endowed College",HLOOKUP(B$37,FringeAndIDCRates,4,FALSE),IF($B$6="Federal",HLOOKUP(B$37,FringeAndIDCRates,2,FALSE),IF($B$6="Non-Federal",HLOOKUP(B$37,FringeAndIDCRates,3,FALSE))))</f>
        <v>0.35</v>
      </c>
      <c r="C283" s="397">
        <f t="shared" si="460"/>
        <v>0.35</v>
      </c>
      <c r="D283" s="397">
        <f t="shared" si="460"/>
        <v>0.35499999999999998</v>
      </c>
      <c r="E283" s="397">
        <f t="shared" si="460"/>
        <v>0.37</v>
      </c>
      <c r="F283" s="397">
        <f t="shared" si="460"/>
        <v>0.37</v>
      </c>
      <c r="G283" s="397">
        <f t="shared" si="460"/>
        <v>0.37</v>
      </c>
      <c r="H283" s="397">
        <f t="shared" si="460"/>
        <v>0.37</v>
      </c>
      <c r="I283" s="397">
        <f t="shared" si="460"/>
        <v>0.37</v>
      </c>
      <c r="J283" s="397">
        <f t="shared" si="460"/>
        <v>0.37</v>
      </c>
      <c r="K283" s="397">
        <f t="shared" si="460"/>
        <v>0.37</v>
      </c>
      <c r="L283" s="397">
        <f t="shared" si="460"/>
        <v>0.37</v>
      </c>
      <c r="M283" s="397">
        <f t="shared" si="460"/>
        <v>0.37</v>
      </c>
      <c r="N283" s="197"/>
      <c r="O283" s="197"/>
      <c r="Q283" s="102"/>
    </row>
    <row r="284" spans="1:17" x14ac:dyDescent="0.25">
      <c r="A284" s="137" t="str">
        <f>CONCATENATE("Cornell IDC Rate - ",B274)</f>
        <v>Cornell IDC Rate - Endowed College</v>
      </c>
      <c r="B284" s="397">
        <f t="shared" ref="B284:M284" si="461">IF($B275="Off",(HLOOKUP(B$37,FringeAndIDCRates,8,FALSE)),IF(AND($B$7="Other",$B275="On"),(HLOOKUP(B$37,FringeAndIDCRates,7,FALSE)),IF(AND($B275="On",$B274="Contract College",$B$7="Research"),(HLOOKUP(B$37,FringeAndIDCRates,5,FALSE)),(HLOOKUP(B$37,FringeAndIDCRates,6,FALSE)))))</f>
        <v>0.64</v>
      </c>
      <c r="C284" s="397">
        <f t="shared" si="461"/>
        <v>0.64</v>
      </c>
      <c r="D284" s="397">
        <f t="shared" si="461"/>
        <v>0.64</v>
      </c>
      <c r="E284" s="397">
        <f t="shared" si="461"/>
        <v>0.64</v>
      </c>
      <c r="F284" s="397">
        <f t="shared" si="461"/>
        <v>0.64</v>
      </c>
      <c r="G284" s="397">
        <f t="shared" si="461"/>
        <v>0.64</v>
      </c>
      <c r="H284" s="397">
        <f t="shared" si="461"/>
        <v>0.64</v>
      </c>
      <c r="I284" s="397">
        <f t="shared" si="461"/>
        <v>0.64</v>
      </c>
      <c r="J284" s="397">
        <f t="shared" si="461"/>
        <v>0.64</v>
      </c>
      <c r="K284" s="397">
        <f t="shared" si="461"/>
        <v>0.64</v>
      </c>
      <c r="L284" s="397">
        <f t="shared" si="461"/>
        <v>0.64</v>
      </c>
      <c r="M284" s="397">
        <f t="shared" si="461"/>
        <v>0.64</v>
      </c>
      <c r="N284" s="197"/>
      <c r="O284" s="197"/>
      <c r="Q284" s="102"/>
    </row>
    <row r="285" spans="1:17" x14ac:dyDescent="0.25">
      <c r="A285" s="137" t="str">
        <f>IF($B$8="Yes","","Rate Allowed by Sponsor:")</f>
        <v/>
      </c>
      <c r="B285" s="198" t="str">
        <f t="shared" ref="B285:M285" si="462">IF($B$8="Yes","",IF($B$8="No",HLOOKUP(B$37,FringeAndIDCRates,9,FALSE),(HLOOKUP(B$37,FringeAndIDCRates,9,FALSE))))</f>
        <v/>
      </c>
      <c r="C285" s="198" t="str">
        <f t="shared" si="462"/>
        <v/>
      </c>
      <c r="D285" s="198" t="str">
        <f t="shared" si="462"/>
        <v/>
      </c>
      <c r="E285" s="198" t="str">
        <f t="shared" si="462"/>
        <v/>
      </c>
      <c r="F285" s="198" t="str">
        <f t="shared" si="462"/>
        <v/>
      </c>
      <c r="G285" s="198" t="str">
        <f t="shared" si="462"/>
        <v/>
      </c>
      <c r="H285" s="198" t="str">
        <f t="shared" si="462"/>
        <v/>
      </c>
      <c r="I285" s="198" t="str">
        <f t="shared" si="462"/>
        <v/>
      </c>
      <c r="J285" s="198" t="str">
        <f t="shared" si="462"/>
        <v/>
      </c>
      <c r="K285" s="198" t="str">
        <f t="shared" si="462"/>
        <v/>
      </c>
      <c r="L285" s="198" t="str">
        <f t="shared" si="462"/>
        <v/>
      </c>
      <c r="M285" s="198" t="str">
        <f t="shared" si="462"/>
        <v/>
      </c>
      <c r="N285" s="239"/>
      <c r="O285" s="239"/>
      <c r="Q285" s="102"/>
    </row>
    <row r="286" spans="1:17" x14ac:dyDescent="0.25">
      <c r="B286" s="53"/>
      <c r="C286" s="53"/>
      <c r="D286" s="53"/>
      <c r="E286" s="53"/>
      <c r="F286" s="53"/>
      <c r="G286" s="53"/>
      <c r="H286" s="53"/>
    </row>
    <row r="287" spans="1:17" ht="20.25" x14ac:dyDescent="0.3">
      <c r="A287" s="40" t="s">
        <v>55</v>
      </c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</row>
    <row r="288" spans="1:17" ht="15.75" x14ac:dyDescent="0.25">
      <c r="A288" s="105" t="s">
        <v>87</v>
      </c>
      <c r="B288" s="106" t="str">
        <f>IF(B291=$AE$5,$AE$8,IF(B291=$AF$5,$AF$8,IF(B291=$AG$5,$AG$8,IF(B291=$AH$5,$AH$8,IF(B291=$AI$5,$AI$8,IF(B291=$AJ$5,$AJ$8,IF(B291=$AK$5,$AK$8,IF(B291=$AL$5,$AL$8,IF(B291=$AM$5,$AM$8,IF(B291=$AN$5,$AN$8,IF(B291=$AO$5,$AO$8,IF(B291=$AP$5,$AP$8," "))))))))))))</f>
        <v xml:space="preserve"> </v>
      </c>
      <c r="C288" s="106" t="str">
        <f t="shared" ref="C288:M288" si="463">IF(C291=$AE$5,$AE$8,IF(C291=$AF$5,$AF$8,IF(C291=$AG$5,$AG$8,IF(C291=$AH$5,$AH$8,IF(C291=$AI$5,$AI$8,IF(C291=$AJ$5,$AJ$8,IF(C291=$AK$5,$AK$8,IF(C291=$AL$5,$AL$8,IF(C291=$AM$5,$AM$8,IF(C291=$AN$5,$AN$8,IF(C291=$AO$5,$AO$8,IF(C291=$AP$5,$AP$8," "))))))))))))</f>
        <v>2025-2025</v>
      </c>
      <c r="D288" s="106" t="str">
        <f t="shared" si="463"/>
        <v>2026-2026</v>
      </c>
      <c r="E288" s="106" t="str">
        <f t="shared" si="463"/>
        <v>2027-2027</v>
      </c>
      <c r="F288" s="106" t="str">
        <f t="shared" si="463"/>
        <v>2028-2028</v>
      </c>
      <c r="G288" s="106" t="str">
        <f t="shared" si="463"/>
        <v>2029-2029</v>
      </c>
      <c r="H288" s="106" t="str">
        <f t="shared" si="463"/>
        <v>2030-2030</v>
      </c>
      <c r="I288" s="106" t="str">
        <f t="shared" si="463"/>
        <v>2031-2031</v>
      </c>
      <c r="J288" s="106" t="str">
        <f t="shared" si="463"/>
        <v>2032-2032</v>
      </c>
      <c r="K288" s="106" t="str">
        <f t="shared" si="463"/>
        <v>2033-2033</v>
      </c>
      <c r="L288" s="106" t="str">
        <f t="shared" si="463"/>
        <v>2034-2034</v>
      </c>
      <c r="M288" s="106" t="str">
        <f t="shared" si="463"/>
        <v>2035-2035</v>
      </c>
      <c r="N288" s="106" t="str">
        <f t="shared" ref="N288" si="464">IF(N291=$AE$5,$AE$8,IF(N291=$AF$5,$AF$8,IF(N291=$AG$5,$AG$8,IF(N291=$AH$5,$AH$8,IF(N291=$AI$5,$AI$8,IF(N291=$AJ$5,$AJ$8,IF(N291=$AK$5,$AK$8,IF(N291=$AL$5,$AL$8,IF(N291=$AM$5,$AM$8,IF(N291=$AN$5,$AN$8,IF(N291=$AO$5,$AO$8,IF(N291=$AP$5,$AP$8," "))))))))))))</f>
        <v>2036-2036</v>
      </c>
    </row>
    <row r="290" spans="1:22" x14ac:dyDescent="0.25">
      <c r="A290" s="199" t="str">
        <f>CONCATENATE("Calculation based on ",O292," month salary")</f>
        <v>Calculation based on 9 month salary</v>
      </c>
      <c r="B290" s="104" t="str">
        <f t="shared" ref="B290:L290" si="465">IF(AND(B291=$AE$5,$O292=9),$AE$3,IF(AND(B291=$AF$5,$O292=9),$AF$3,IF(AND(B291=$AG$5,$O292=9),$AG$3,IF(AND(B291=$AH$5,$O292=9),$AH$3,IF(AND(B291=$AI$5,$O292=9),$AI$3,IF(AND(B291=$AJ$5,$O292=9),$AJ$3,IF(AND(B291=$AK$5,$O292=9),$AK$3,IF(AND(B291=$AL$5,$O292=9),$AL$3,IF(AND(B291=$AM$5,$O292=9),$AM$3,IF(AND(B291=$AN$5,$O292=9),$AN$3,IF(AND(B291=$AO$5,$O292=9),$AO$3,IF(AND(B291=$AP$5,$O292=9),$AJ$3,IF(AND(B291=$AE$4,$O292=12),$AE$3,IF(AND(B291=$AF$4,$O292=12),$AF$3,IF(AND(B291=$AG$4,$O292=12),$AG$3,IF(AND(B291=$AH$4,$O292=12),$AH$3,IF(AND(B291=$AI$4,$O292=12),$AI$3,IF(AND(B291=$AJ$4,$O292=12),$AJ$3,IF(AND(B291=$AK$4,$O292=12),$AK$3,IF(AND(B291=$AL$4,$O292=12),$AL$3,IF(AND(B291=$AM$4,$O292=12),$AM$3,IF(AND(B291=$AN$4,$O292=12),$AN$3,IF(AND(B291=$AO$4,$O292=12),$AO$3,IF(AND(B291=$AP$4,$O292=12),$AJ$3," "))))))))))))))))))))))))</f>
        <v xml:space="preserve"> </v>
      </c>
      <c r="C290" s="104" t="str">
        <f t="shared" si="465"/>
        <v>Year 1</v>
      </c>
      <c r="D290" s="104" t="str">
        <f t="shared" si="465"/>
        <v>Year 2</v>
      </c>
      <c r="E290" s="104" t="str">
        <f t="shared" si="465"/>
        <v>Year 3</v>
      </c>
      <c r="F290" s="104" t="str">
        <f t="shared" si="465"/>
        <v>Year 4</v>
      </c>
      <c r="G290" s="104" t="str">
        <f t="shared" si="465"/>
        <v>Year 5</v>
      </c>
      <c r="H290" s="104" t="str">
        <f t="shared" si="465"/>
        <v>Year 6</v>
      </c>
      <c r="I290" s="104" t="str">
        <f t="shared" si="465"/>
        <v>Year 7</v>
      </c>
      <c r="J290" s="104" t="str">
        <f t="shared" si="465"/>
        <v>Year 8</v>
      </c>
      <c r="K290" s="104" t="str">
        <f t="shared" si="465"/>
        <v>Year 9</v>
      </c>
      <c r="L290" s="104" t="str">
        <f t="shared" si="465"/>
        <v>Year 10</v>
      </c>
      <c r="M290" s="104" t="str">
        <f>IF(AND(M291=$AE$5,$O292=9),$AE$3,IF(AND(M291=$AF$5,$O292=9),$AF$3,IF(AND(M291=$AG$5,$O292=9),$AG$3,IF(AND(M291=$AH$5,$O292=9),$AH$3,IF(AND(M291=$AI$5,$O292=9),$AI$3,IF(AND(M291=$AJ$5,$O292=9),$AJ$3,IF(AND(M291=$AK$5,$O292=9),$AK$3,IF(AND(M291=$AL$5,$O292=9),$AL$3,IF(AND(M291=$AM$5,$O292=9),$AM$3,IF(AND(M291=$AN$5,$O292=9),$AN$3,IF(AND(M291=$AO$5,$O292=9),$AO$3,IF(AND(M291=$AP$5,$O292=9),$AP$3,IF(AND(M291=$AQ$5,$O292=9),$AJ$3,IF(AND(M291=$AE$4,$O292=12),$AE$3,IF(AND(M291=$AF$4,$O292=12),$AF$3,IF(AND(M291=$AG$4,$O292=12),$AG$3,IF(AND(M291=$AH$4,$O292=12),$AH$3,IF(AND(M291=$AI$4,$O292=12),$AI$3,IF(AND(M291=$AJ$4,$O292=12),$AJ$3,IF(AND(M291=$AK$4,$O292=12),$AK$3,IF(AND(M291=$AL$4,$O292=12),$AL$3,IF(AND(M291=$AM$4,$O292=12),$AM$3,IF(AND(M291=$AN$4,$O292=12),$AN$3,IF(AND(M291=$AO$4,$O292=12),$AO$3,IF(AND(M291=$AP$4,$O292=12),$AP$3,IF(AND(M291=$AQ$4,$O292=12),$AJ$3," "))))))))))))))))))))))))))</f>
        <v>Year 11</v>
      </c>
      <c r="N290" s="104" t="str">
        <f>IF(AND(N291=$AE$5,$O292=9),$AE$3,IF(AND(N291=$AF$5,$O292=9),$AF$3,IF(AND(N291=$AG$5,$O292=9),$AG$3,IF(AND(N291=$AH$5,$O292=9),$AH$3,IF(AND(N291=$AI$5,$O292=9),$AI$3,IF(AND(N291=$AJ$5,$O292=9),$AJ$3,IF(AND(N291=$AK$5,$O292=9),$AK$3,IF(AND(N291=$AL$5,$O292=9),$AL$3,IF(AND(N291=$AM$5,$O292=9),$AM$3,IF(AND(N291=$AN$5,$O292=9),$AN$3,IF(AND(N291=$AO$5,$O292=9),$AO$3,IF(AND(N291=$AP$5,$O292=9),$AP$3,IF(AND(N291=$AQ$5,$O292=9),$AJ$3,IF(AND(N291=$AE$4,$O292=12),$AE$3,IF(AND(N291=$AF$4,$O292=12),$AF$3,IF(AND(N291=$AG$4,$O292=12),$AG$3,IF(AND(N291=$AH$4,$O292=12),$AH$3,IF(AND(N291=$AI$4,$O292=12),$AI$3,IF(AND(N291=$AJ$4,$O292=12),$AJ$3,IF(AND(N291=$AK$4,$O292=12),$AK$3,IF(AND(N291=$AL$4,$O292=12),$AL$3,IF(AND(N291=$AM$4,$O292=12),$AM$3,IF(AND(N291=$AN$4,$O292=12),$AN$3,IF(AND(N291=$AO$4,$O292=12),$AO$3,IF(AND(N291=$AP$4,$O292=12),$AP$3,IF(AND(N291=$AQ$4,$O292=12),$AJ$3," "))))))))))))))))))))))))))</f>
        <v>Year 12</v>
      </c>
    </row>
    <row r="291" spans="1:22" x14ac:dyDescent="0.25">
      <c r="A291" s="200" t="str">
        <f>+B271</f>
        <v>Co-PI</v>
      </c>
      <c r="B291" s="55" t="str">
        <f t="shared" ref="B291:I291" si="466">+N$2</f>
        <v>FY2025</v>
      </c>
      <c r="C291" s="55" t="str">
        <f t="shared" si="466"/>
        <v>FY2026</v>
      </c>
      <c r="D291" s="55" t="str">
        <f t="shared" si="466"/>
        <v>FY2027</v>
      </c>
      <c r="E291" s="55" t="str">
        <f t="shared" si="466"/>
        <v>FY2028</v>
      </c>
      <c r="F291" s="55" t="str">
        <f t="shared" si="466"/>
        <v>FY2029</v>
      </c>
      <c r="G291" s="55" t="str">
        <f t="shared" si="466"/>
        <v>FY2030</v>
      </c>
      <c r="H291" s="55" t="str">
        <f t="shared" si="466"/>
        <v>FY2031</v>
      </c>
      <c r="I291" s="55" t="str">
        <f t="shared" si="466"/>
        <v>FY2032</v>
      </c>
      <c r="J291" s="55" t="str">
        <f t="shared" ref="J291" si="467">+V$2</f>
        <v>FY2033</v>
      </c>
      <c r="K291" s="55" t="str">
        <f t="shared" ref="K291" si="468">+W$2</f>
        <v>FY2034</v>
      </c>
      <c r="L291" s="55" t="str">
        <f t="shared" ref="L291" si="469">+X$2</f>
        <v>FY2035</v>
      </c>
      <c r="M291" s="55" t="str">
        <f t="shared" ref="M291:N291" si="470">+Y$2</f>
        <v>FY2036</v>
      </c>
      <c r="N291" s="55" t="str">
        <f t="shared" si="470"/>
        <v>FY2037</v>
      </c>
      <c r="O291" s="32" t="s">
        <v>20</v>
      </c>
      <c r="P291" s="89"/>
      <c r="Q291" s="89"/>
    </row>
    <row r="292" spans="1:22" x14ac:dyDescent="0.25">
      <c r="A292" s="201" t="str">
        <f>CONCATENATE("Base Salary: ",O292," month term")</f>
        <v>Base Salary: 9 month term</v>
      </c>
      <c r="B292" s="383">
        <v>0</v>
      </c>
      <c r="C292" s="384">
        <f t="shared" ref="C292:N292" si="471">ROUND(+B292*(1+(HLOOKUP(C291,FringeAndIDCRates,10,FALSE))),0)</f>
        <v>0</v>
      </c>
      <c r="D292" s="384">
        <f t="shared" si="471"/>
        <v>0</v>
      </c>
      <c r="E292" s="384">
        <f t="shared" si="471"/>
        <v>0</v>
      </c>
      <c r="F292" s="384">
        <f t="shared" si="471"/>
        <v>0</v>
      </c>
      <c r="G292" s="384">
        <f t="shared" si="471"/>
        <v>0</v>
      </c>
      <c r="H292" s="384">
        <f t="shared" si="471"/>
        <v>0</v>
      </c>
      <c r="I292" s="384">
        <f t="shared" si="471"/>
        <v>0</v>
      </c>
      <c r="J292" s="384">
        <f t="shared" si="471"/>
        <v>0</v>
      </c>
      <c r="K292" s="384">
        <f t="shared" si="471"/>
        <v>0</v>
      </c>
      <c r="L292" s="384">
        <f t="shared" si="471"/>
        <v>0</v>
      </c>
      <c r="M292" s="384">
        <f t="shared" si="471"/>
        <v>0</v>
      </c>
      <c r="N292" s="384">
        <f t="shared" si="471"/>
        <v>0</v>
      </c>
      <c r="O292" s="310">
        <v>9</v>
      </c>
      <c r="P292" s="311"/>
      <c r="Q292" s="52"/>
    </row>
    <row r="293" spans="1:22" x14ac:dyDescent="0.25">
      <c r="A293" s="201" t="s">
        <v>44</v>
      </c>
      <c r="B293" s="312">
        <v>0</v>
      </c>
      <c r="C293" s="312">
        <v>0</v>
      </c>
      <c r="D293" s="312">
        <v>0</v>
      </c>
      <c r="E293" s="312">
        <v>0</v>
      </c>
      <c r="F293" s="312">
        <v>0</v>
      </c>
      <c r="G293" s="312">
        <v>0</v>
      </c>
      <c r="H293" s="312">
        <v>0</v>
      </c>
      <c r="I293" s="312">
        <v>0</v>
      </c>
      <c r="J293" s="312">
        <v>0</v>
      </c>
      <c r="K293" s="312">
        <v>0</v>
      </c>
      <c r="L293" s="312">
        <v>0</v>
      </c>
      <c r="M293" s="312">
        <v>0</v>
      </c>
      <c r="N293" s="312">
        <v>0</v>
      </c>
      <c r="O293" s="25"/>
      <c r="P293" s="25"/>
      <c r="Q293" s="25"/>
    </row>
    <row r="294" spans="1:22" x14ac:dyDescent="0.25">
      <c r="A294" s="201" t="str">
        <f>CONCATENATE("FTE for ",O292," Months")</f>
        <v>FTE for 9 Months</v>
      </c>
      <c r="B294" s="393">
        <f t="shared" ref="B294:M294" si="472">+B293/$O292</f>
        <v>0</v>
      </c>
      <c r="C294" s="393">
        <f t="shared" si="472"/>
        <v>0</v>
      </c>
      <c r="D294" s="393">
        <f t="shared" si="472"/>
        <v>0</v>
      </c>
      <c r="E294" s="393">
        <f t="shared" si="472"/>
        <v>0</v>
      </c>
      <c r="F294" s="393">
        <f t="shared" si="472"/>
        <v>0</v>
      </c>
      <c r="G294" s="393">
        <f t="shared" si="472"/>
        <v>0</v>
      </c>
      <c r="H294" s="393">
        <f t="shared" si="472"/>
        <v>0</v>
      </c>
      <c r="I294" s="393">
        <f t="shared" si="472"/>
        <v>0</v>
      </c>
      <c r="J294" s="393">
        <f t="shared" si="472"/>
        <v>0</v>
      </c>
      <c r="K294" s="393">
        <f t="shared" si="472"/>
        <v>0</v>
      </c>
      <c r="L294" s="393">
        <f t="shared" si="472"/>
        <v>0</v>
      </c>
      <c r="M294" s="393">
        <f t="shared" si="472"/>
        <v>0</v>
      </c>
      <c r="N294" s="393">
        <f t="shared" ref="N294" si="473">+N293/$O292</f>
        <v>0</v>
      </c>
      <c r="O294" s="89"/>
      <c r="P294" s="89"/>
      <c r="Q294" s="89"/>
    </row>
    <row r="295" spans="1:22" x14ac:dyDescent="0.25">
      <c r="A295" s="202" t="s">
        <v>56</v>
      </c>
      <c r="B295" s="394">
        <f t="shared" ref="B295:G295" si="474">+B293/12</f>
        <v>0</v>
      </c>
      <c r="C295" s="394">
        <f t="shared" si="474"/>
        <v>0</v>
      </c>
      <c r="D295" s="394">
        <f t="shared" si="474"/>
        <v>0</v>
      </c>
      <c r="E295" s="394">
        <f t="shared" si="474"/>
        <v>0</v>
      </c>
      <c r="F295" s="394">
        <f t="shared" si="474"/>
        <v>0</v>
      </c>
      <c r="G295" s="394">
        <f t="shared" si="474"/>
        <v>0</v>
      </c>
      <c r="H295" s="394">
        <f t="shared" ref="H295:L295" si="475">+H293/12</f>
        <v>0</v>
      </c>
      <c r="I295" s="394">
        <f t="shared" si="475"/>
        <v>0</v>
      </c>
      <c r="J295" s="394">
        <f t="shared" si="475"/>
        <v>0</v>
      </c>
      <c r="K295" s="394">
        <f t="shared" si="475"/>
        <v>0</v>
      </c>
      <c r="L295" s="394">
        <f t="shared" si="475"/>
        <v>0</v>
      </c>
      <c r="M295" s="394">
        <f t="shared" ref="M295:N295" si="476">+M293/12</f>
        <v>0</v>
      </c>
      <c r="N295" s="394">
        <f t="shared" si="476"/>
        <v>0</v>
      </c>
      <c r="O295" s="89"/>
      <c r="P295" s="89"/>
      <c r="Q295" s="89"/>
    </row>
    <row r="296" spans="1:22" x14ac:dyDescent="0.25">
      <c r="A296" s="201" t="s">
        <v>21</v>
      </c>
      <c r="B296" s="110">
        <f t="shared" ref="B296:K296" si="477">IF($O292=9,ROUND(B292*B294,0),IF($O292=12,ROUND((B292*B294*$Q$41)+(C292*B294*$Q$42),0),0))</f>
        <v>0</v>
      </c>
      <c r="C296" s="110">
        <f t="shared" si="477"/>
        <v>0</v>
      </c>
      <c r="D296" s="110">
        <f t="shared" si="477"/>
        <v>0</v>
      </c>
      <c r="E296" s="110">
        <f t="shared" si="477"/>
        <v>0</v>
      </c>
      <c r="F296" s="110">
        <f t="shared" si="477"/>
        <v>0</v>
      </c>
      <c r="G296" s="110">
        <f t="shared" si="477"/>
        <v>0</v>
      </c>
      <c r="H296" s="110">
        <f t="shared" si="477"/>
        <v>0</v>
      </c>
      <c r="I296" s="110">
        <f t="shared" si="477"/>
        <v>0</v>
      </c>
      <c r="J296" s="110">
        <f t="shared" si="477"/>
        <v>0</v>
      </c>
      <c r="K296" s="110">
        <f t="shared" si="477"/>
        <v>0</v>
      </c>
      <c r="L296" s="110">
        <f>IF($O292=9,ROUND(L292*L294,0),IF($O292=12,ROUND((L292*L294*$Q$41)+(N292*L294*$Q$42),0),0))</f>
        <v>0</v>
      </c>
      <c r="M296" s="110">
        <f>IF($O292=9,ROUND(M292*M294,0),IF($O292=12,ROUND((M292*M294*$Q$41)+(O292*M294*$Q$42),0),0))</f>
        <v>0</v>
      </c>
      <c r="N296" s="110">
        <f>IF($O292=9,ROUND(N292*N294,0),IF($O292=12,ROUND((N292*N294*$Q$41)+(P292*N294*$Q$42),0),0))</f>
        <v>0</v>
      </c>
      <c r="O296" s="89"/>
      <c r="P296" s="89"/>
      <c r="Q296" s="89"/>
    </row>
    <row r="297" spans="1:22" x14ac:dyDescent="0.25">
      <c r="A297" s="195"/>
      <c r="O297" s="89"/>
      <c r="P297" s="89"/>
      <c r="Q297" s="89"/>
    </row>
    <row r="298" spans="1:22" x14ac:dyDescent="0.25">
      <c r="A298" s="199" t="str">
        <f>CONCATENATE("Calculation based on ",O300," month salary")</f>
        <v>Calculation based on 9 month salary</v>
      </c>
      <c r="B298" s="104" t="str">
        <f t="shared" ref="B298:L298" si="478">IF(AND(B299=$AE$5,$O300=9),$AE$3,IF(AND(B299=$AF$5,$O300=9),$AF$3,IF(AND(B299=$AG$5,$O300=9),$AG$3,IF(AND(B299=$AH$5,$O300=9),$AH$3,IF(AND(B299=$AI$5,$O300=9),$AI$3,IF(AND(B299=$AJ$5,$O300=9),$AJ$3,IF(AND(B299=$AK$5,$O300=9),$AK$3,IF(AND(B299=$AL$5,$O300=9),$AL$3,IF(AND(B299=$AM$5,$O300=9),$AM$3,IF(AND(B299=$AN$5,$O300=9),$AN$3,IF(AND(B299=$AO$5,$O300=9),$AO$3,IF(AND(B299=$AP$5,$O300=9),$AJ$3,IF(AND(B299=$AE$4,$O300=12),$AE$3,IF(AND(B299=$AF$4,$O300=12),$AF$3,IF(AND(B299=$AG$4,$O300=12),$AG$3,IF(AND(B299=$AH$4,$O300=12),$AH$3,IF(AND(B299=$AI$4,$O300=12),$AI$3,IF(AND(B299=$AJ$4,$O300=12),$AJ$3,IF(AND(B299=$AK$4,$O300=12),$AK$3,IF(AND(B299=$AL$4,$O300=12),$AL$3,IF(AND(B299=$AM$4,$O300=12),$AM$3,IF(AND(B299=$AN$4,$O300=12),$AN$3,IF(AND(B299=$AO$4,$O300=12),$AO$3,IF(AND(B299=$AP$4,$O300=12),$AJ$3," "))))))))))))))))))))))))</f>
        <v xml:space="preserve"> </v>
      </c>
      <c r="C298" s="104" t="str">
        <f t="shared" si="478"/>
        <v>Year 1</v>
      </c>
      <c r="D298" s="104" t="str">
        <f t="shared" si="478"/>
        <v>Year 2</v>
      </c>
      <c r="E298" s="104" t="str">
        <f t="shared" si="478"/>
        <v>Year 3</v>
      </c>
      <c r="F298" s="104" t="str">
        <f t="shared" si="478"/>
        <v>Year 4</v>
      </c>
      <c r="G298" s="104" t="str">
        <f t="shared" si="478"/>
        <v>Year 5</v>
      </c>
      <c r="H298" s="104" t="str">
        <f t="shared" si="478"/>
        <v>Year 6</v>
      </c>
      <c r="I298" s="104" t="str">
        <f t="shared" si="478"/>
        <v>Year 7</v>
      </c>
      <c r="J298" s="104" t="str">
        <f t="shared" si="478"/>
        <v>Year 8</v>
      </c>
      <c r="K298" s="104" t="str">
        <f t="shared" si="478"/>
        <v>Year 9</v>
      </c>
      <c r="L298" s="104" t="str">
        <f t="shared" si="478"/>
        <v>Year 10</v>
      </c>
      <c r="M298" s="104" t="str">
        <f>IF(AND(M299=$AE$5,$O300=9),$AE$3,IF(AND(M299=$AF$5,$O300=9),$AF$3,IF(AND(M299=$AG$5,$O300=9),$AG$3,IF(AND(M299=$AH$5,$O300=9),$AH$3,IF(AND(M299=$AI$5,$O300=9),$AI$3,IF(AND(M299=$AJ$5,$O300=9),$AJ$3,IF(AND(M299=$AK$5,$O300=9),$AK$3,IF(AND(M299=$AL$5,$O300=9),$AL$3,IF(AND(M299=$AM$5,$O300=9),$AM$3,IF(AND(M299=$AN$5,$O300=9),$AN$3,IF(AND(M299=$AO$5,$O300=9),$AO$3,IF(AND(M299=$AP$5,$O300=9),$AP$3,IF(AND(M299=$AQ$5,$O300=9),$AJ$3,IF(AND(M299=$AE$4,$O300=12),$AE$3,IF(AND(M299=$AF$4,$O300=12),$AF$3,IF(AND(M299=$AG$4,$O300=12),$AG$3,IF(AND(M299=$AH$4,$O300=12),$AH$3,IF(AND(M299=$AI$4,$O300=12),$AI$3,IF(AND(M299=$AJ$4,$O300=12),$AJ$3,IF(AND(M299=$AK$4,$O300=12),$AK$3,IF(AND(M299=$AL$4,$O300=12),$AL$3,IF(AND(M299=$AM$4,$O300=12),$AM$3,IF(AND(M299=$AN$4,$O300=12),$AN$3,IF(AND(M299=$AO$4,$O300=12),$AO$3,IF(AND(M299=$AP$4,$O300=12),$AP$3,IF(AND(M299=$AQ$4,$O300=12),$AJ$3," "))))))))))))))))))))))))))</f>
        <v>Year 11</v>
      </c>
      <c r="N298" s="104" t="str">
        <f>IF(AND(N299=$AE$5,$O300=9),$AE$3,IF(AND(N299=$AF$5,$O300=9),$AF$3,IF(AND(N299=$AG$5,$O300=9),$AG$3,IF(AND(N299=$AH$5,$O300=9),$AH$3,IF(AND(N299=$AI$5,$O300=9),$AI$3,IF(AND(N299=$AJ$5,$O300=9),$AJ$3,IF(AND(N299=$AK$5,$O300=9),$AK$3,IF(AND(N299=$AL$5,$O300=9),$AL$3,IF(AND(N299=$AM$5,$O300=9),$AM$3,IF(AND(N299=$AN$5,$O300=9),$AN$3,IF(AND(N299=$AO$5,$O300=9),$AO$3,IF(AND(N299=$AP$5,$O300=9),$AP$3,IF(AND(N299=$AQ$5,$O300=9),$AJ$3,IF(AND(N299=$AE$4,$O300=12),$AE$3,IF(AND(N299=$AF$4,$O300=12),$AF$3,IF(AND(N299=$AG$4,$O300=12),$AG$3,IF(AND(N299=$AH$4,$O300=12),$AH$3,IF(AND(N299=$AI$4,$O300=12),$AI$3,IF(AND(N299=$AJ$4,$O300=12),$AJ$3,IF(AND(N299=$AK$4,$O300=12),$AK$3,IF(AND(N299=$AL$4,$O300=12),$AL$3,IF(AND(N299=$AM$4,$O300=12),$AM$3,IF(AND(N299=$AN$4,$O300=12),$AN$3,IF(AND(N299=$AO$4,$O300=12),$AO$3,IF(AND(N299=$AP$4,$O300=12),$AP$3,IF(AND(N299=$AQ$4,$O300=12),$AJ$3," "))))))))))))))))))))))))))</f>
        <v>Year 12</v>
      </c>
      <c r="O298" s="89"/>
      <c r="P298" s="89"/>
      <c r="Q298" s="89"/>
      <c r="V298" s="23"/>
    </row>
    <row r="299" spans="1:22" x14ac:dyDescent="0.25">
      <c r="A299" s="200" t="str">
        <f>+B272</f>
        <v>Co-PI</v>
      </c>
      <c r="B299" s="55" t="str">
        <f t="shared" ref="B299:I299" si="479">+N$2</f>
        <v>FY2025</v>
      </c>
      <c r="C299" s="55" t="str">
        <f t="shared" si="479"/>
        <v>FY2026</v>
      </c>
      <c r="D299" s="55" t="str">
        <f t="shared" si="479"/>
        <v>FY2027</v>
      </c>
      <c r="E299" s="55" t="str">
        <f t="shared" si="479"/>
        <v>FY2028</v>
      </c>
      <c r="F299" s="55" t="str">
        <f t="shared" si="479"/>
        <v>FY2029</v>
      </c>
      <c r="G299" s="55" t="str">
        <f t="shared" si="479"/>
        <v>FY2030</v>
      </c>
      <c r="H299" s="55" t="str">
        <f t="shared" si="479"/>
        <v>FY2031</v>
      </c>
      <c r="I299" s="55" t="str">
        <f t="shared" si="479"/>
        <v>FY2032</v>
      </c>
      <c r="J299" s="55" t="str">
        <f t="shared" ref="J299" si="480">+V$2</f>
        <v>FY2033</v>
      </c>
      <c r="K299" s="55" t="str">
        <f t="shared" ref="K299" si="481">+W$2</f>
        <v>FY2034</v>
      </c>
      <c r="L299" s="55" t="str">
        <f t="shared" ref="L299" si="482">+X$2</f>
        <v>FY2035</v>
      </c>
      <c r="M299" s="55" t="str">
        <f t="shared" ref="M299:N299" si="483">+Y$2</f>
        <v>FY2036</v>
      </c>
      <c r="N299" s="55" t="str">
        <f t="shared" si="483"/>
        <v>FY2037</v>
      </c>
      <c r="O299" s="32" t="s">
        <v>20</v>
      </c>
      <c r="P299" s="89"/>
      <c r="Q299" s="89"/>
      <c r="V299" s="23"/>
    </row>
    <row r="300" spans="1:22" x14ac:dyDescent="0.25">
      <c r="A300" s="201" t="str">
        <f>CONCATENATE("Base Salary: ",O300," month term")</f>
        <v>Base Salary: 9 month term</v>
      </c>
      <c r="B300" s="383">
        <v>0</v>
      </c>
      <c r="C300" s="384">
        <f t="shared" ref="C300:N300" si="484">ROUND(+B300*(1+(HLOOKUP(C299,FringeAndIDCRates,10,FALSE))),0)</f>
        <v>0</v>
      </c>
      <c r="D300" s="384">
        <f t="shared" si="484"/>
        <v>0</v>
      </c>
      <c r="E300" s="384">
        <f t="shared" si="484"/>
        <v>0</v>
      </c>
      <c r="F300" s="384">
        <f t="shared" si="484"/>
        <v>0</v>
      </c>
      <c r="G300" s="384">
        <f t="shared" si="484"/>
        <v>0</v>
      </c>
      <c r="H300" s="384">
        <f t="shared" si="484"/>
        <v>0</v>
      </c>
      <c r="I300" s="384">
        <f t="shared" si="484"/>
        <v>0</v>
      </c>
      <c r="J300" s="384">
        <f t="shared" si="484"/>
        <v>0</v>
      </c>
      <c r="K300" s="384">
        <f t="shared" si="484"/>
        <v>0</v>
      </c>
      <c r="L300" s="384">
        <f t="shared" si="484"/>
        <v>0</v>
      </c>
      <c r="M300" s="384">
        <f t="shared" si="484"/>
        <v>0</v>
      </c>
      <c r="N300" s="384">
        <f t="shared" si="484"/>
        <v>0</v>
      </c>
      <c r="O300" s="310">
        <v>9</v>
      </c>
      <c r="P300" s="311"/>
      <c r="Q300" s="52"/>
      <c r="V300" s="23"/>
    </row>
    <row r="301" spans="1:22" x14ac:dyDescent="0.25">
      <c r="A301" s="201" t="s">
        <v>44</v>
      </c>
      <c r="B301" s="312">
        <v>0</v>
      </c>
      <c r="C301" s="312">
        <v>0</v>
      </c>
      <c r="D301" s="312">
        <v>0</v>
      </c>
      <c r="E301" s="312">
        <v>0</v>
      </c>
      <c r="F301" s="312">
        <v>0</v>
      </c>
      <c r="G301" s="312">
        <v>0</v>
      </c>
      <c r="H301" s="312">
        <v>0</v>
      </c>
      <c r="I301" s="312">
        <v>0</v>
      </c>
      <c r="J301" s="312">
        <v>0</v>
      </c>
      <c r="K301" s="312">
        <v>0</v>
      </c>
      <c r="L301" s="312">
        <v>0</v>
      </c>
      <c r="M301" s="312">
        <v>0</v>
      </c>
      <c r="N301" s="312">
        <v>0</v>
      </c>
      <c r="O301" s="25"/>
      <c r="P301" s="25"/>
      <c r="Q301" s="25"/>
    </row>
    <row r="302" spans="1:22" x14ac:dyDescent="0.25">
      <c r="A302" s="201" t="str">
        <f>CONCATENATE("FTE for ",O300," Months")</f>
        <v>FTE for 9 Months</v>
      </c>
      <c r="B302" s="393">
        <f t="shared" ref="B302:M302" si="485">+B301/$O300</f>
        <v>0</v>
      </c>
      <c r="C302" s="393">
        <f t="shared" si="485"/>
        <v>0</v>
      </c>
      <c r="D302" s="393">
        <f t="shared" si="485"/>
        <v>0</v>
      </c>
      <c r="E302" s="393">
        <f t="shared" si="485"/>
        <v>0</v>
      </c>
      <c r="F302" s="393">
        <f t="shared" si="485"/>
        <v>0</v>
      </c>
      <c r="G302" s="393">
        <f t="shared" si="485"/>
        <v>0</v>
      </c>
      <c r="H302" s="393">
        <f t="shared" si="485"/>
        <v>0</v>
      </c>
      <c r="I302" s="393">
        <f t="shared" si="485"/>
        <v>0</v>
      </c>
      <c r="J302" s="393">
        <f t="shared" si="485"/>
        <v>0</v>
      </c>
      <c r="K302" s="393">
        <f t="shared" si="485"/>
        <v>0</v>
      </c>
      <c r="L302" s="393">
        <f t="shared" si="485"/>
        <v>0</v>
      </c>
      <c r="M302" s="393">
        <f t="shared" si="485"/>
        <v>0</v>
      </c>
      <c r="N302" s="393">
        <f t="shared" ref="N302" si="486">+N301/$O300</f>
        <v>0</v>
      </c>
      <c r="O302" s="89"/>
      <c r="P302" s="89"/>
      <c r="Q302" s="89"/>
    </row>
    <row r="303" spans="1:22" x14ac:dyDescent="0.25">
      <c r="A303" s="202" t="s">
        <v>56</v>
      </c>
      <c r="B303" s="394">
        <f>+B301/12</f>
        <v>0</v>
      </c>
      <c r="C303" s="394">
        <f>+C301/12</f>
        <v>0</v>
      </c>
      <c r="D303" s="394">
        <f t="shared" ref="D303:F303" si="487">+D301/12</f>
        <v>0</v>
      </c>
      <c r="E303" s="394">
        <f t="shared" si="487"/>
        <v>0</v>
      </c>
      <c r="F303" s="394">
        <f t="shared" si="487"/>
        <v>0</v>
      </c>
      <c r="G303" s="394">
        <f t="shared" ref="G303:L303" si="488">+G301/12</f>
        <v>0</v>
      </c>
      <c r="H303" s="394">
        <f t="shared" si="488"/>
        <v>0</v>
      </c>
      <c r="I303" s="394">
        <f t="shared" si="488"/>
        <v>0</v>
      </c>
      <c r="J303" s="394">
        <f t="shared" si="488"/>
        <v>0</v>
      </c>
      <c r="K303" s="394">
        <f t="shared" si="488"/>
        <v>0</v>
      </c>
      <c r="L303" s="394">
        <f t="shared" si="488"/>
        <v>0</v>
      </c>
      <c r="M303" s="394">
        <f t="shared" ref="M303:N303" si="489">+M301/12</f>
        <v>0</v>
      </c>
      <c r="N303" s="394">
        <f t="shared" si="489"/>
        <v>0</v>
      </c>
      <c r="O303" s="89"/>
      <c r="P303" s="89"/>
      <c r="Q303" s="89"/>
    </row>
    <row r="304" spans="1:22" x14ac:dyDescent="0.25">
      <c r="A304" s="201" t="s">
        <v>21</v>
      </c>
      <c r="B304" s="110">
        <f t="shared" ref="B304:K304" si="490">IF($O300=9,ROUND(B300*B302,0),IF($O300=12,ROUND((B300*B302*$Q$41)+(C300*B302*$Q$42),0),0))</f>
        <v>0</v>
      </c>
      <c r="C304" s="110">
        <f t="shared" si="490"/>
        <v>0</v>
      </c>
      <c r="D304" s="110">
        <f t="shared" si="490"/>
        <v>0</v>
      </c>
      <c r="E304" s="110">
        <f t="shared" si="490"/>
        <v>0</v>
      </c>
      <c r="F304" s="110">
        <f t="shared" si="490"/>
        <v>0</v>
      </c>
      <c r="G304" s="110">
        <f t="shared" si="490"/>
        <v>0</v>
      </c>
      <c r="H304" s="110">
        <f t="shared" si="490"/>
        <v>0</v>
      </c>
      <c r="I304" s="110">
        <f t="shared" si="490"/>
        <v>0</v>
      </c>
      <c r="J304" s="110">
        <f t="shared" si="490"/>
        <v>0</v>
      </c>
      <c r="K304" s="110">
        <f t="shared" si="490"/>
        <v>0</v>
      </c>
      <c r="L304" s="110">
        <f>IF($O300=9,ROUND(L300*L302,0),IF($O300=12,ROUND((L300*L302*$Q$41)+(N300*L302*$Q$42),0),0))</f>
        <v>0</v>
      </c>
      <c r="M304" s="110">
        <f>IF($O300=9,ROUND(M300*M302,0),IF($O300=12,ROUND((M300*M302*$Q$41)+(O300*M302*$Q$42),0),0))</f>
        <v>0</v>
      </c>
      <c r="N304" s="110">
        <f>IF($O300=9,ROUND(N300*N302,0),IF($O300=12,ROUND((N300*N302*$Q$41)+(P300*N302*$Q$42),0),0))</f>
        <v>0</v>
      </c>
      <c r="O304" s="89"/>
      <c r="P304" s="89"/>
      <c r="Q304" s="89"/>
    </row>
    <row r="305" spans="1:33" x14ac:dyDescent="0.25">
      <c r="A305" s="201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89"/>
      <c r="P305" s="89"/>
      <c r="Q305" s="89"/>
      <c r="R305" s="26"/>
      <c r="S305" s="23"/>
      <c r="T305" s="23"/>
      <c r="U305" s="23"/>
      <c r="V305" s="23"/>
      <c r="W305" s="23"/>
    </row>
    <row r="306" spans="1:33" x14ac:dyDescent="0.25">
      <c r="A306" s="199" t="str">
        <f>CONCATENATE("Calculation based on ",O308," month salary")</f>
        <v>Calculation based on 9 month salary</v>
      </c>
      <c r="B306" s="104" t="str">
        <f t="shared" ref="B306:L306" si="491">IF(AND(B307=$AE$5,$O308=9),$AE$3,IF(AND(B307=$AF$5,$O308=9),$AF$3,IF(AND(B307=$AG$5,$O308=9),$AG$3,IF(AND(B307=$AH$5,$O308=9),$AH$3,IF(AND(B307=$AI$5,$O308=9),$AI$3,IF(AND(B307=$AJ$5,$O308=9),$AJ$3,IF(AND(B307=$AK$5,$O308=9),$AK$3,IF(AND(B307=$AL$5,$O308=9),$AL$3,IF(AND(B307=$AM$5,$O308=9),$AM$3,IF(AND(B307=$AN$5,$O308=9),$AN$3,IF(AND(B307=$AO$5,$O308=9),$AO$3,IF(AND(B307=$AP$5,$O308=9),$AJ$3,IF(AND(B307=$AE$4,$O308=12),$AE$3,IF(AND(B307=$AF$4,$O308=12),$AF$3,IF(AND(B307=$AG$4,$O308=12),$AG$3,IF(AND(B307=$AH$4,$O308=12),$AH$3,IF(AND(B307=$AI$4,$O308=12),$AI$3,IF(AND(B307=$AJ$4,$O308=12),$AJ$3,IF(AND(B307=$AK$4,$O308=12),$AK$3,IF(AND(B307=$AL$4,$O308=12),$AL$3,IF(AND(B307=$AM$4,$O308=12),$AM$3,IF(AND(B307=$AN$4,$O308=12),$AN$3,IF(AND(B307=$AO$4,$O308=12),$AO$3,IF(AND(B307=$AP$4,$O308=12),$AJ$3," "))))))))))))))))))))))))</f>
        <v xml:space="preserve"> </v>
      </c>
      <c r="C306" s="104" t="str">
        <f t="shared" si="491"/>
        <v>Year 1</v>
      </c>
      <c r="D306" s="104" t="str">
        <f t="shared" si="491"/>
        <v>Year 2</v>
      </c>
      <c r="E306" s="104" t="str">
        <f t="shared" si="491"/>
        <v>Year 3</v>
      </c>
      <c r="F306" s="104" t="str">
        <f t="shared" si="491"/>
        <v>Year 4</v>
      </c>
      <c r="G306" s="104" t="str">
        <f t="shared" si="491"/>
        <v>Year 5</v>
      </c>
      <c r="H306" s="104" t="str">
        <f t="shared" si="491"/>
        <v>Year 6</v>
      </c>
      <c r="I306" s="104" t="str">
        <f t="shared" si="491"/>
        <v>Year 7</v>
      </c>
      <c r="J306" s="104" t="str">
        <f t="shared" si="491"/>
        <v>Year 8</v>
      </c>
      <c r="K306" s="104" t="str">
        <f t="shared" si="491"/>
        <v>Year 9</v>
      </c>
      <c r="L306" s="104" t="str">
        <f t="shared" si="491"/>
        <v>Year 10</v>
      </c>
      <c r="M306" s="104" t="str">
        <f>IF(AND(M307=$AE$5,$O308=9),$AE$3,IF(AND(M307=$AF$5,$O308=9),$AF$3,IF(AND(M307=$AG$5,$O308=9),$AG$3,IF(AND(M307=$AH$5,$O308=9),$AH$3,IF(AND(M307=$AI$5,$O308=9),$AI$3,IF(AND(M307=$AJ$5,$O308=9),$AJ$3,IF(AND(M307=$AK$5,$O308=9),$AK$3,IF(AND(M307=$AL$5,$O308=9),$AL$3,IF(AND(M307=$AM$5,$O308=9),$AM$3,IF(AND(M307=$AN$5,$O308=9),$AN$3,IF(AND(M307=$AO$5,$O308=9),$AO$3,IF(AND(M307=$AP$5,$O308=9),$AP$3,IF(AND(M307=$AQ$5,$O308=9),$AJ$3,IF(AND(M307=$AE$4,$O308=12),$AE$3,IF(AND(M307=$AF$4,$O308=12),$AF$3,IF(AND(M307=$AG$4,$O308=12),$AG$3,IF(AND(M307=$AH$4,$O308=12),$AH$3,IF(AND(M307=$AI$4,$O308=12),$AI$3,IF(AND(M307=$AJ$4,$O308=12),$AJ$3,IF(AND(M307=$AK$4,$O308=12),$AK$3,IF(AND(M307=$AL$4,$O308=12),$AL$3,IF(AND(M307=$AM$4,$O308=12),$AM$3,IF(AND(M307=$AN$4,$O308=12),$AN$3,IF(AND(M307=$AO$4,$O308=12),$AO$3,IF(AND(M307=$AP$4,$O308=12),$AP$3,IF(AND(M307=$AQ$4,$O308=12),$AJ$3," "))))))))))))))))))))))))))</f>
        <v>Year 11</v>
      </c>
      <c r="N306" s="104" t="str">
        <f>IF(AND(N307=$AE$5,$O308=9),$AE$3,IF(AND(N307=$AF$5,$O308=9),$AF$3,IF(AND(N307=$AG$5,$O308=9),$AG$3,IF(AND(N307=$AH$5,$O308=9),$AH$3,IF(AND(N307=$AI$5,$O308=9),$AI$3,IF(AND(N307=$AJ$5,$O308=9),$AJ$3,IF(AND(N307=$AK$5,$O308=9),$AK$3,IF(AND(N307=$AL$5,$O308=9),$AL$3,IF(AND(N307=$AM$5,$O308=9),$AM$3,IF(AND(N307=$AN$5,$O308=9),$AN$3,IF(AND(N307=$AO$5,$O308=9),$AO$3,IF(AND(N307=$AP$5,$O308=9),$AP$3,IF(AND(N307=$AQ$5,$O308=9),$AJ$3,IF(AND(N307=$AE$4,$O308=12),$AE$3,IF(AND(N307=$AF$4,$O308=12),$AF$3,IF(AND(N307=$AG$4,$O308=12),$AG$3,IF(AND(N307=$AH$4,$O308=12),$AH$3,IF(AND(N307=$AI$4,$O308=12),$AI$3,IF(AND(N307=$AJ$4,$O308=12),$AJ$3,IF(AND(N307=$AK$4,$O308=12),$AK$3,IF(AND(N307=$AL$4,$O308=12),$AL$3,IF(AND(N307=$AM$4,$O308=12),$AM$3,IF(AND(N307=$AN$4,$O308=12),$AN$3,IF(AND(N307=$AO$4,$O308=12),$AO$3,IF(AND(N307=$AP$4,$O308=12),$AP$3,IF(AND(N307=$AQ$4,$O308=12),$AJ$3," "))))))))))))))))))))))))))</f>
        <v>Year 12</v>
      </c>
      <c r="O306" s="89"/>
      <c r="P306" s="89"/>
      <c r="Q306" s="89"/>
    </row>
    <row r="307" spans="1:33" x14ac:dyDescent="0.25">
      <c r="A307" s="200" t="str">
        <f>+B273</f>
        <v>Co-PI</v>
      </c>
      <c r="B307" s="55" t="str">
        <f t="shared" ref="B307:I307" si="492">+N$2</f>
        <v>FY2025</v>
      </c>
      <c r="C307" s="55" t="str">
        <f t="shared" si="492"/>
        <v>FY2026</v>
      </c>
      <c r="D307" s="55" t="str">
        <f t="shared" si="492"/>
        <v>FY2027</v>
      </c>
      <c r="E307" s="55" t="str">
        <f t="shared" si="492"/>
        <v>FY2028</v>
      </c>
      <c r="F307" s="55" t="str">
        <f t="shared" si="492"/>
        <v>FY2029</v>
      </c>
      <c r="G307" s="55" t="str">
        <f t="shared" si="492"/>
        <v>FY2030</v>
      </c>
      <c r="H307" s="55" t="str">
        <f t="shared" si="492"/>
        <v>FY2031</v>
      </c>
      <c r="I307" s="55" t="str">
        <f t="shared" si="492"/>
        <v>FY2032</v>
      </c>
      <c r="J307" s="55" t="str">
        <f t="shared" ref="J307" si="493">+V$2</f>
        <v>FY2033</v>
      </c>
      <c r="K307" s="55" t="str">
        <f t="shared" ref="K307" si="494">+W$2</f>
        <v>FY2034</v>
      </c>
      <c r="L307" s="55" t="str">
        <f t="shared" ref="L307" si="495">+X$2</f>
        <v>FY2035</v>
      </c>
      <c r="M307" s="55" t="str">
        <f t="shared" ref="M307:N307" si="496">+Y$2</f>
        <v>FY2036</v>
      </c>
      <c r="N307" s="55" t="str">
        <f t="shared" si="496"/>
        <v>FY2037</v>
      </c>
      <c r="O307" s="32" t="s">
        <v>20</v>
      </c>
      <c r="P307" s="89"/>
      <c r="Q307" s="89"/>
    </row>
    <row r="308" spans="1:33" x14ac:dyDescent="0.25">
      <c r="A308" s="201" t="str">
        <f>CONCATENATE("Base Salary: ",O308," month term")</f>
        <v>Base Salary: 9 month term</v>
      </c>
      <c r="B308" s="383">
        <v>0</v>
      </c>
      <c r="C308" s="384">
        <f t="shared" ref="C308:N308" si="497">ROUND(+B308*(1+(HLOOKUP(C307,FringeAndIDCRates,10,FALSE))),0)</f>
        <v>0</v>
      </c>
      <c r="D308" s="384">
        <f t="shared" si="497"/>
        <v>0</v>
      </c>
      <c r="E308" s="384">
        <f t="shared" si="497"/>
        <v>0</v>
      </c>
      <c r="F308" s="384">
        <f t="shared" si="497"/>
        <v>0</v>
      </c>
      <c r="G308" s="384">
        <f t="shared" si="497"/>
        <v>0</v>
      </c>
      <c r="H308" s="384">
        <f t="shared" si="497"/>
        <v>0</v>
      </c>
      <c r="I308" s="384">
        <f t="shared" si="497"/>
        <v>0</v>
      </c>
      <c r="J308" s="384">
        <f t="shared" si="497"/>
        <v>0</v>
      </c>
      <c r="K308" s="384">
        <f t="shared" si="497"/>
        <v>0</v>
      </c>
      <c r="L308" s="384">
        <f t="shared" si="497"/>
        <v>0</v>
      </c>
      <c r="M308" s="384">
        <f t="shared" si="497"/>
        <v>0</v>
      </c>
      <c r="N308" s="384">
        <f t="shared" si="497"/>
        <v>0</v>
      </c>
      <c r="O308" s="310">
        <v>9</v>
      </c>
      <c r="P308" s="311"/>
      <c r="Q308" s="52"/>
    </row>
    <row r="309" spans="1:33" x14ac:dyDescent="0.25">
      <c r="A309" s="201" t="s">
        <v>44</v>
      </c>
      <c r="B309" s="312">
        <v>0</v>
      </c>
      <c r="C309" s="312">
        <v>0</v>
      </c>
      <c r="D309" s="312">
        <v>0</v>
      </c>
      <c r="E309" s="312">
        <v>0</v>
      </c>
      <c r="F309" s="312">
        <v>0</v>
      </c>
      <c r="G309" s="312">
        <v>0</v>
      </c>
      <c r="H309" s="312">
        <v>0</v>
      </c>
      <c r="I309" s="312">
        <v>0</v>
      </c>
      <c r="J309" s="312">
        <v>0</v>
      </c>
      <c r="K309" s="312">
        <v>0</v>
      </c>
      <c r="L309" s="312">
        <v>0</v>
      </c>
      <c r="M309" s="312">
        <v>0</v>
      </c>
      <c r="N309" s="312">
        <v>0</v>
      </c>
      <c r="O309" s="25"/>
      <c r="P309" s="25"/>
      <c r="Q309" s="204"/>
      <c r="R309" s="42" t="str">
        <f>+O$26</f>
        <v>Graduate Student (Stipend, Tuition, Health Ins)</v>
      </c>
    </row>
    <row r="310" spans="1:33" x14ac:dyDescent="0.25">
      <c r="A310" s="201" t="str">
        <f>CONCATENATE("FTE for ",O308," Months")</f>
        <v>FTE for 9 Months</v>
      </c>
      <c r="B310" s="393">
        <f t="shared" ref="B310:M310" si="498">+B309/$O308</f>
        <v>0</v>
      </c>
      <c r="C310" s="393">
        <f t="shared" si="498"/>
        <v>0</v>
      </c>
      <c r="D310" s="393">
        <f t="shared" si="498"/>
        <v>0</v>
      </c>
      <c r="E310" s="393">
        <f t="shared" si="498"/>
        <v>0</v>
      </c>
      <c r="F310" s="393">
        <f t="shared" si="498"/>
        <v>0</v>
      </c>
      <c r="G310" s="393">
        <f t="shared" si="498"/>
        <v>0</v>
      </c>
      <c r="H310" s="393">
        <f t="shared" si="498"/>
        <v>0</v>
      </c>
      <c r="I310" s="393">
        <f t="shared" si="498"/>
        <v>0</v>
      </c>
      <c r="J310" s="393">
        <f t="shared" si="498"/>
        <v>0</v>
      </c>
      <c r="K310" s="393">
        <f t="shared" si="498"/>
        <v>0</v>
      </c>
      <c r="L310" s="393">
        <f t="shared" si="498"/>
        <v>0</v>
      </c>
      <c r="M310" s="393">
        <f t="shared" si="498"/>
        <v>0</v>
      </c>
      <c r="N310" s="393">
        <f t="shared" ref="N310" si="499">+N309/$O308</f>
        <v>0</v>
      </c>
      <c r="O310" s="89"/>
      <c r="P310" s="89"/>
      <c r="Q310" s="204"/>
      <c r="R310" s="25"/>
      <c r="S310" s="113" t="str">
        <f>+$P$30</f>
        <v>FY2025</v>
      </c>
      <c r="T310" s="113" t="str">
        <f>+$Q$30</f>
        <v>FY2026</v>
      </c>
      <c r="U310" s="113" t="str">
        <f>+$R$30</f>
        <v>FY2027</v>
      </c>
      <c r="V310" s="113" t="str">
        <f>+$S$30</f>
        <v>FY2028</v>
      </c>
      <c r="W310" s="113" t="str">
        <f>+$T$30</f>
        <v>FY2029</v>
      </c>
      <c r="X310" s="113" t="str">
        <f>+$U$30</f>
        <v>FY2030</v>
      </c>
      <c r="Y310" s="113" t="str">
        <f>+$V$30</f>
        <v>FY2031</v>
      </c>
      <c r="Z310" s="113" t="str">
        <f>+$W$30</f>
        <v>FY2032</v>
      </c>
      <c r="AA310" s="113" t="str">
        <f>+$X$30</f>
        <v>FY2033</v>
      </c>
      <c r="AB310" s="113" t="str">
        <f>+$Y$30</f>
        <v>FY2034</v>
      </c>
      <c r="AC310" s="113" t="str">
        <f>+$Z$30</f>
        <v>FY2035</v>
      </c>
      <c r="AD310" s="113" t="str">
        <f>+$AA$30</f>
        <v>FY2036</v>
      </c>
      <c r="AE310" s="113" t="str">
        <f>+$AB$30</f>
        <v>FY2037</v>
      </c>
      <c r="AF310" s="114" t="s">
        <v>101</v>
      </c>
    </row>
    <row r="311" spans="1:33" x14ac:dyDescent="0.25">
      <c r="A311" s="202" t="s">
        <v>56</v>
      </c>
      <c r="B311" s="394">
        <f>+B309/12</f>
        <v>0</v>
      </c>
      <c r="C311" s="394">
        <f>+C309/12</f>
        <v>0</v>
      </c>
      <c r="D311" s="394">
        <f t="shared" ref="D311" si="500">+D309/12</f>
        <v>0</v>
      </c>
      <c r="E311" s="394">
        <f t="shared" ref="E311:L311" si="501">+E309/12</f>
        <v>0</v>
      </c>
      <c r="F311" s="394">
        <f t="shared" si="501"/>
        <v>0</v>
      </c>
      <c r="G311" s="394">
        <f t="shared" si="501"/>
        <v>0</v>
      </c>
      <c r="H311" s="394">
        <f t="shared" si="501"/>
        <v>0</v>
      </c>
      <c r="I311" s="394">
        <f t="shared" si="501"/>
        <v>0</v>
      </c>
      <c r="J311" s="394">
        <f t="shared" si="501"/>
        <v>0</v>
      </c>
      <c r="K311" s="394">
        <f t="shared" si="501"/>
        <v>0</v>
      </c>
      <c r="L311" s="394">
        <f t="shared" si="501"/>
        <v>0</v>
      </c>
      <c r="M311" s="394">
        <f t="shared" ref="M311:N311" si="502">+M309/12</f>
        <v>0</v>
      </c>
      <c r="N311" s="394">
        <f t="shared" si="502"/>
        <v>0</v>
      </c>
      <c r="O311" s="89"/>
      <c r="P311" s="89"/>
      <c r="Q311" s="204"/>
      <c r="R311" s="30" t="s">
        <v>35</v>
      </c>
      <c r="S311" s="101">
        <f>+$P$31</f>
        <v>33930</v>
      </c>
      <c r="T311" s="101">
        <f>IF(ROUND(S311*(1+$AF311),0)=$Q$31,ROUND(S311*(1+$AF311),0),$Q$31)</f>
        <v>35627</v>
      </c>
      <c r="U311" s="101">
        <f t="shared" ref="U311:AE311" si="503">ROUND(T311*(1+$AF311),0)</f>
        <v>37408</v>
      </c>
      <c r="V311" s="101">
        <f t="shared" si="503"/>
        <v>39278</v>
      </c>
      <c r="W311" s="101">
        <f t="shared" si="503"/>
        <v>41242</v>
      </c>
      <c r="X311" s="101">
        <f t="shared" si="503"/>
        <v>43304</v>
      </c>
      <c r="Y311" s="101">
        <f t="shared" si="503"/>
        <v>45469</v>
      </c>
      <c r="Z311" s="101">
        <f t="shared" si="503"/>
        <v>47742</v>
      </c>
      <c r="AA311" s="101">
        <f t="shared" si="503"/>
        <v>50129</v>
      </c>
      <c r="AB311" s="101">
        <f t="shared" si="503"/>
        <v>52635</v>
      </c>
      <c r="AC311" s="101">
        <f t="shared" si="503"/>
        <v>55267</v>
      </c>
      <c r="AD311" s="101">
        <f t="shared" si="503"/>
        <v>58030</v>
      </c>
      <c r="AE311" s="101">
        <f t="shared" si="503"/>
        <v>60932</v>
      </c>
      <c r="AF311" s="31">
        <v>0.05</v>
      </c>
    </row>
    <row r="312" spans="1:33" x14ac:dyDescent="0.25">
      <c r="A312" s="201" t="s">
        <v>21</v>
      </c>
      <c r="B312" s="110">
        <f t="shared" ref="B312:K312" si="504">IF($O308=9,ROUND(B308*B310,0),IF($O308=12,ROUND((B308*B310*$Q$41)+(C308*B310*$Q$42),0),0))</f>
        <v>0</v>
      </c>
      <c r="C312" s="110">
        <f t="shared" si="504"/>
        <v>0</v>
      </c>
      <c r="D312" s="110">
        <f t="shared" si="504"/>
        <v>0</v>
      </c>
      <c r="E312" s="110">
        <f t="shared" si="504"/>
        <v>0</v>
      </c>
      <c r="F312" s="110">
        <f t="shared" si="504"/>
        <v>0</v>
      </c>
      <c r="G312" s="110">
        <f t="shared" si="504"/>
        <v>0</v>
      </c>
      <c r="H312" s="110">
        <f t="shared" si="504"/>
        <v>0</v>
      </c>
      <c r="I312" s="110">
        <f t="shared" si="504"/>
        <v>0</v>
      </c>
      <c r="J312" s="110">
        <f t="shared" si="504"/>
        <v>0</v>
      </c>
      <c r="K312" s="110">
        <f t="shared" si="504"/>
        <v>0</v>
      </c>
      <c r="L312" s="110">
        <f>IF($O308=9,ROUND(L308*L310,0),IF($O308=12,ROUND((L308*L310*$Q$41)+(N308*L310*$Q$42),0),0))</f>
        <v>0</v>
      </c>
      <c r="M312" s="110">
        <f>IF($O308=9,ROUND(M308*M310,0),IF($O308=12,ROUND((M308*M310*$Q$41)+(O308*M310*$Q$42),0),0))</f>
        <v>0</v>
      </c>
      <c r="N312" s="110">
        <f>IF($O308=9,ROUND(N308*N310,0),IF($O308=12,ROUND((N308*N310*$Q$41)+(P308*N310*$Q$42),0),0))</f>
        <v>0</v>
      </c>
      <c r="O312" s="89"/>
      <c r="P312" s="89"/>
      <c r="Q312" s="204"/>
      <c r="R312" s="30" t="s">
        <v>23</v>
      </c>
      <c r="S312" s="101">
        <f>+$P$32</f>
        <v>11310</v>
      </c>
      <c r="T312" s="101">
        <f>IF(ROUND(S312*(1+$AF312),0)=$Q$32,ROUND(S312*(1+$AF312),0),$Q$32)</f>
        <v>11876</v>
      </c>
      <c r="U312" s="101">
        <f t="shared" ref="U312:AE312" si="505">ROUND(T312*(1+$AF312),0)</f>
        <v>12470</v>
      </c>
      <c r="V312" s="101">
        <f t="shared" si="505"/>
        <v>13094</v>
      </c>
      <c r="W312" s="101">
        <f t="shared" si="505"/>
        <v>13749</v>
      </c>
      <c r="X312" s="101">
        <f t="shared" si="505"/>
        <v>14436</v>
      </c>
      <c r="Y312" s="101">
        <f t="shared" si="505"/>
        <v>15158</v>
      </c>
      <c r="Z312" s="101">
        <f t="shared" si="505"/>
        <v>15916</v>
      </c>
      <c r="AA312" s="101">
        <f t="shared" si="505"/>
        <v>16712</v>
      </c>
      <c r="AB312" s="101">
        <f t="shared" si="505"/>
        <v>17548</v>
      </c>
      <c r="AC312" s="101">
        <f t="shared" si="505"/>
        <v>18425</v>
      </c>
      <c r="AD312" s="101">
        <f t="shared" si="505"/>
        <v>19346</v>
      </c>
      <c r="AE312" s="101">
        <f t="shared" si="505"/>
        <v>20313</v>
      </c>
      <c r="AF312" s="66">
        <v>0.05</v>
      </c>
    </row>
    <row r="313" spans="1:33" x14ac:dyDescent="0.25">
      <c r="A313" s="201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89"/>
      <c r="P313" s="89"/>
      <c r="Q313" s="204"/>
      <c r="R313" s="30" t="s">
        <v>30</v>
      </c>
      <c r="S313" s="101">
        <f>+$P$33</f>
        <v>45240</v>
      </c>
      <c r="T313" s="101">
        <f>+T311+T312</f>
        <v>47503</v>
      </c>
      <c r="U313" s="101">
        <f t="shared" ref="U313:AD313" si="506">+U311+U312</f>
        <v>49878</v>
      </c>
      <c r="V313" s="101">
        <f t="shared" si="506"/>
        <v>52372</v>
      </c>
      <c r="W313" s="101">
        <f t="shared" si="506"/>
        <v>54991</v>
      </c>
      <c r="X313" s="101">
        <f t="shared" si="506"/>
        <v>57740</v>
      </c>
      <c r="Y313" s="101">
        <f t="shared" si="506"/>
        <v>60627</v>
      </c>
      <c r="Z313" s="101">
        <f t="shared" si="506"/>
        <v>63658</v>
      </c>
      <c r="AA313" s="101">
        <f t="shared" si="506"/>
        <v>66841</v>
      </c>
      <c r="AB313" s="101">
        <f t="shared" si="506"/>
        <v>70183</v>
      </c>
      <c r="AC313" s="101">
        <f t="shared" si="506"/>
        <v>73692</v>
      </c>
      <c r="AD313" s="101">
        <f t="shared" si="506"/>
        <v>77376</v>
      </c>
      <c r="AE313" s="101">
        <f t="shared" ref="AE313" si="507">+AE311+AE312</f>
        <v>81245</v>
      </c>
      <c r="AF313" s="31"/>
    </row>
    <row r="314" spans="1:33" x14ac:dyDescent="0.25">
      <c r="A314" s="201"/>
      <c r="B314" s="104" t="str">
        <f t="shared" ref="B314:L314" si="508">IF(AND(B315=$AE$5,$O316=9),$AE$3,IF(AND(B315=$AF$5,$O316=9),$AF$3,IF(AND(B315=$AG$5,$O316=9),$AG$3,IF(AND(B315=$AH$5,$O316=9),$AH$3,IF(AND(B315=$AI$5,$O316=9),$AI$3,IF(AND(B315=$AJ$5,$O316=9),$AJ$3,IF(AND(B315=$AK$5,$O316=9),$AK$3,IF(AND(B315=$AL$5,$O316=9),$AL$3,IF(AND(B315=$AM$5,$O316=9),$AM$3,IF(AND(B315=$AN$5,$O316=9),$AN$3,IF(AND(B315=$AO$5,$O316=9),$AO$3,IF(AND(B315=$AP$5,$O316=9),$AJ$3,IF(AND(B315=$AE$4,$O316=12),$AE$3,IF(AND(B315=$AF$4,$O316=12),$AF$3,IF(AND(B315=$AG$4,$O316=12),$AG$3,IF(AND(B315=$AH$4,$O316=12),$AH$3,IF(AND(B315=$AI$4,$O316=12),$AI$3,IF(AND(B315=$AJ$4,$O316=12),$AJ$3,IF(AND(B315=$AK$4,$O316=12),$AK$3,IF(AND(B315=$AL$4,$O316=12),$AL$3,IF(AND(B315=$AM$4,$O316=12),$AM$3,IF(AND(B315=$AN$4,$O316=12),$AN$3,IF(AND(B315=$AO$4,$O316=12),$AO$3,IF(AND(B315=$AP$4,$O316=12),$AJ$3," "))))))))))))))))))))))))</f>
        <v>Year 1</v>
      </c>
      <c r="C314" s="104" t="str">
        <f t="shared" si="508"/>
        <v>Year 2</v>
      </c>
      <c r="D314" s="104" t="str">
        <f t="shared" si="508"/>
        <v>Year 3</v>
      </c>
      <c r="E314" s="104" t="str">
        <f t="shared" si="508"/>
        <v>Year 4</v>
      </c>
      <c r="F314" s="104" t="str">
        <f t="shared" si="508"/>
        <v>Year 5</v>
      </c>
      <c r="G314" s="104" t="str">
        <f t="shared" si="508"/>
        <v>Year 6</v>
      </c>
      <c r="H314" s="104" t="str">
        <f t="shared" si="508"/>
        <v>Year 7</v>
      </c>
      <c r="I314" s="104" t="str">
        <f t="shared" si="508"/>
        <v>Year 8</v>
      </c>
      <c r="J314" s="104" t="str">
        <f t="shared" si="508"/>
        <v>Year 9</v>
      </c>
      <c r="K314" s="104" t="str">
        <f t="shared" si="508"/>
        <v>Year 10</v>
      </c>
      <c r="L314" s="104" t="str">
        <f t="shared" si="508"/>
        <v>Year 11</v>
      </c>
      <c r="M314" s="104" t="str">
        <f t="shared" ref="M314" si="509">IF(AND(M315=$AE$5,$O316=9),$AE$3,IF(AND(M315=$AF$5,$O316=9),$AF$3,IF(AND(M315=$AG$5,$O316=9),$AG$3,IF(AND(M315=$AH$5,$O316=9),$AH$3,IF(AND(M315=$AI$5,$O316=9),$AI$3,IF(AND(M315=$AJ$5,$O316=9),$AJ$3,IF(AND(M315=$AK$5,$O316=9),$AK$3,IF(AND(M315=$AL$5,$O316=9),$AL$3,IF(AND(M315=$AM$5,$O316=9),$AM$3,IF(AND(M315=$AN$5,$O316=9),$AN$3,IF(AND(M315=$AO$5,$O316=9),$AO$3,IF(AND(M315=$AP$5,$O316=9),$AJ$3,IF(AND(M315=$AE$4,$O316=12),$AE$3,IF(AND(M315=$AF$4,$O316=12),$AF$3,IF(AND(M315=$AG$4,$O316=12),$AG$3,IF(AND(M315=$AH$4,$O316=12),$AH$3,IF(AND(M315=$AI$4,$O316=12),$AI$3,IF(AND(M315=$AJ$4,$O316=12),$AJ$3,IF(AND(M315=$AK$4,$O316=12),$AK$3,IF(AND(M315=$AL$4,$O316=12),$AL$3,IF(AND(M315=$AM$4,$O316=12),$AM$3,IF(AND(M315=$AN$4,$O316=12),$AN$3,IF(AND(M315=$AO$4,$O316=12),$AO$3,IF(AND(M315=$AP$4,$O316=12),$AJ$3," "))))))))))))))))))))))))</f>
        <v>Year 6</v>
      </c>
      <c r="N314" s="104"/>
      <c r="O314" s="89"/>
      <c r="P314" s="89"/>
      <c r="Q314" s="204"/>
      <c r="R314" s="30" t="s">
        <v>8</v>
      </c>
      <c r="S314" s="101">
        <f t="shared" ref="S314:AE314" si="510">IF($B$274="Contract College",P$34,P$35)</f>
        <v>10400</v>
      </c>
      <c r="T314" s="101">
        <f t="shared" si="510"/>
        <v>10400</v>
      </c>
      <c r="U314" s="101">
        <f t="shared" si="510"/>
        <v>10400</v>
      </c>
      <c r="V314" s="101">
        <f t="shared" si="510"/>
        <v>10400</v>
      </c>
      <c r="W314" s="101">
        <f t="shared" si="510"/>
        <v>10400</v>
      </c>
      <c r="X314" s="101">
        <f t="shared" si="510"/>
        <v>10400</v>
      </c>
      <c r="Y314" s="101">
        <f t="shared" si="510"/>
        <v>10400</v>
      </c>
      <c r="Z314" s="101">
        <f t="shared" si="510"/>
        <v>10400</v>
      </c>
      <c r="AA314" s="101">
        <f t="shared" si="510"/>
        <v>10400</v>
      </c>
      <c r="AB314" s="101">
        <f t="shared" si="510"/>
        <v>10400</v>
      </c>
      <c r="AC314" s="101">
        <f t="shared" si="510"/>
        <v>10400</v>
      </c>
      <c r="AD314" s="101">
        <f t="shared" si="510"/>
        <v>10400</v>
      </c>
      <c r="AE314" s="101">
        <f t="shared" si="510"/>
        <v>10400</v>
      </c>
      <c r="AF314" s="31">
        <v>0</v>
      </c>
      <c r="AG314" t="s">
        <v>204</v>
      </c>
    </row>
    <row r="315" spans="1:33" x14ac:dyDescent="0.25">
      <c r="A315" s="200" t="s">
        <v>102</v>
      </c>
      <c r="B315" s="55" t="str">
        <f t="shared" ref="B315:I315" si="511">+N$2</f>
        <v>FY2025</v>
      </c>
      <c r="C315" s="55" t="str">
        <f t="shared" si="511"/>
        <v>FY2026</v>
      </c>
      <c r="D315" s="55" t="str">
        <f t="shared" si="511"/>
        <v>FY2027</v>
      </c>
      <c r="E315" s="55" t="str">
        <f t="shared" si="511"/>
        <v>FY2028</v>
      </c>
      <c r="F315" s="55" t="str">
        <f t="shared" si="511"/>
        <v>FY2029</v>
      </c>
      <c r="G315" s="55" t="str">
        <f t="shared" si="511"/>
        <v>FY2030</v>
      </c>
      <c r="H315" s="55" t="str">
        <f t="shared" si="511"/>
        <v>FY2031</v>
      </c>
      <c r="I315" s="55" t="str">
        <f t="shared" si="511"/>
        <v>FY2032</v>
      </c>
      <c r="J315" s="55" t="str">
        <f t="shared" ref="J315" si="512">+V$2</f>
        <v>FY2033</v>
      </c>
      <c r="K315" s="55" t="str">
        <f t="shared" ref="K315:M315" si="513">+W$2</f>
        <v>FY2034</v>
      </c>
      <c r="L315" s="55" t="str">
        <f t="shared" si="513"/>
        <v>FY2035</v>
      </c>
      <c r="M315" s="55" t="str">
        <f t="shared" si="513"/>
        <v>FY2036</v>
      </c>
      <c r="N315" s="55"/>
      <c r="O315" s="32" t="s">
        <v>20</v>
      </c>
      <c r="P315" s="89"/>
      <c r="Q315" s="204"/>
      <c r="R315" s="30" t="s">
        <v>24</v>
      </c>
      <c r="S315" s="101">
        <f>+$P$36</f>
        <v>4378</v>
      </c>
      <c r="T315" s="101">
        <f>IF(ROUND(S315*(1+$AF315),0)=$Q$36,ROUND(S315*(1+$AF315),0),$Q$36)</f>
        <v>4816</v>
      </c>
      <c r="U315" s="101">
        <f t="shared" ref="U315:AE315" si="514">ROUND(T315*(1+$AF315),0)</f>
        <v>5298</v>
      </c>
      <c r="V315" s="101">
        <f t="shared" si="514"/>
        <v>5828</v>
      </c>
      <c r="W315" s="101">
        <f t="shared" si="514"/>
        <v>6411</v>
      </c>
      <c r="X315" s="101">
        <f t="shared" si="514"/>
        <v>7052</v>
      </c>
      <c r="Y315" s="101">
        <f t="shared" si="514"/>
        <v>7757</v>
      </c>
      <c r="Z315" s="101">
        <f t="shared" si="514"/>
        <v>8533</v>
      </c>
      <c r="AA315" s="101">
        <f t="shared" si="514"/>
        <v>9386</v>
      </c>
      <c r="AB315" s="101">
        <f t="shared" si="514"/>
        <v>10325</v>
      </c>
      <c r="AC315" s="101">
        <f t="shared" si="514"/>
        <v>11358</v>
      </c>
      <c r="AD315" s="101">
        <f t="shared" si="514"/>
        <v>12494</v>
      </c>
      <c r="AE315" s="101">
        <f t="shared" si="514"/>
        <v>13743</v>
      </c>
      <c r="AF315" s="31">
        <v>0.1</v>
      </c>
    </row>
    <row r="316" spans="1:33" x14ac:dyDescent="0.25">
      <c r="A316" s="201" t="str">
        <f>CONCATENATE("Base Salary: ",O316," month term")</f>
        <v>Base Salary: 12 month term</v>
      </c>
      <c r="B316" s="62">
        <f>PostdocMinRate</f>
        <v>61008</v>
      </c>
      <c r="C316" s="440">
        <f t="shared" ref="C316:M316" si="515">ROUND(+B316*(1+(HLOOKUP(C315,FringeAndIDCRates,11,FALSE))),0)</f>
        <v>63143</v>
      </c>
      <c r="D316" s="440">
        <f t="shared" si="515"/>
        <v>65227</v>
      </c>
      <c r="E316" s="440">
        <f t="shared" si="515"/>
        <v>67184</v>
      </c>
      <c r="F316" s="440">
        <f t="shared" si="515"/>
        <v>69200</v>
      </c>
      <c r="G316" s="440">
        <f t="shared" si="515"/>
        <v>71276</v>
      </c>
      <c r="H316" s="440">
        <f t="shared" si="515"/>
        <v>73414</v>
      </c>
      <c r="I316" s="440">
        <f t="shared" si="515"/>
        <v>75616</v>
      </c>
      <c r="J316" s="440">
        <f t="shared" si="515"/>
        <v>77884</v>
      </c>
      <c r="K316" s="440">
        <f t="shared" si="515"/>
        <v>80221</v>
      </c>
      <c r="L316" s="440">
        <f t="shared" si="515"/>
        <v>82628</v>
      </c>
      <c r="M316" s="440">
        <f t="shared" si="515"/>
        <v>85107</v>
      </c>
      <c r="N316" s="109"/>
      <c r="O316" s="317">
        <v>12</v>
      </c>
      <c r="P316" s="318"/>
      <c r="Q316" s="204"/>
      <c r="Y316" s="23"/>
    </row>
    <row r="317" spans="1:33" x14ac:dyDescent="0.25">
      <c r="A317" s="201" t="s">
        <v>44</v>
      </c>
      <c r="B317" s="312">
        <v>0</v>
      </c>
      <c r="C317" s="312">
        <v>0</v>
      </c>
      <c r="D317" s="312">
        <v>0</v>
      </c>
      <c r="E317" s="312">
        <v>0</v>
      </c>
      <c r="F317" s="312">
        <v>0</v>
      </c>
      <c r="G317" s="312">
        <v>0</v>
      </c>
      <c r="H317" s="312">
        <v>0</v>
      </c>
      <c r="I317" s="312">
        <v>0</v>
      </c>
      <c r="J317" s="312">
        <v>0</v>
      </c>
      <c r="K317" s="312">
        <v>0</v>
      </c>
      <c r="L317" s="312">
        <v>0</v>
      </c>
      <c r="M317" s="312">
        <v>0</v>
      </c>
      <c r="N317" s="400"/>
      <c r="O317" s="25"/>
      <c r="P317" s="25"/>
      <c r="Q317" s="204"/>
      <c r="Y317" s="23"/>
    </row>
    <row r="318" spans="1:33" x14ac:dyDescent="0.25">
      <c r="A318" s="201" t="str">
        <f>CONCATENATE("FTE for ",O316," Months")</f>
        <v>FTE for 12 Months</v>
      </c>
      <c r="B318" s="393">
        <f t="shared" ref="B318:L318" si="516">+B317/$O316</f>
        <v>0</v>
      </c>
      <c r="C318" s="393">
        <f t="shared" si="516"/>
        <v>0</v>
      </c>
      <c r="D318" s="393">
        <f t="shared" si="516"/>
        <v>0</v>
      </c>
      <c r="E318" s="393">
        <f t="shared" si="516"/>
        <v>0</v>
      </c>
      <c r="F318" s="393">
        <f t="shared" si="516"/>
        <v>0</v>
      </c>
      <c r="G318" s="393">
        <f t="shared" si="516"/>
        <v>0</v>
      </c>
      <c r="H318" s="393">
        <f t="shared" si="516"/>
        <v>0</v>
      </c>
      <c r="I318" s="393">
        <f t="shared" si="516"/>
        <v>0</v>
      </c>
      <c r="J318" s="393">
        <f t="shared" si="516"/>
        <v>0</v>
      </c>
      <c r="K318" s="393">
        <f t="shared" si="516"/>
        <v>0</v>
      </c>
      <c r="L318" s="393">
        <f t="shared" si="516"/>
        <v>0</v>
      </c>
      <c r="M318" s="393">
        <f t="shared" ref="M318" si="517">+M317/$O316</f>
        <v>0</v>
      </c>
      <c r="N318" s="401"/>
      <c r="O318" s="89"/>
      <c r="P318" s="89"/>
      <c r="Q318" s="204"/>
      <c r="S318" s="53" t="str">
        <f t="shared" ref="S318:AC318" si="518">+S237</f>
        <v>Spring 2025</v>
      </c>
      <c r="T318" s="53" t="str">
        <f t="shared" si="518"/>
        <v>Spring 2026</v>
      </c>
      <c r="U318" s="53" t="str">
        <f t="shared" si="518"/>
        <v>Spring 2027</v>
      </c>
      <c r="V318" s="53" t="str">
        <f t="shared" si="518"/>
        <v>Spring 2028</v>
      </c>
      <c r="W318" s="53" t="str">
        <f t="shared" si="518"/>
        <v>Spring 2029</v>
      </c>
      <c r="X318" s="53" t="str">
        <f t="shared" si="518"/>
        <v>Spring 2030</v>
      </c>
      <c r="Y318" s="53" t="str">
        <f t="shared" si="518"/>
        <v>Spring 2031</v>
      </c>
      <c r="Z318" s="53" t="str">
        <f t="shared" si="518"/>
        <v>Spring 2032</v>
      </c>
      <c r="AA318" s="53" t="str">
        <f t="shared" si="518"/>
        <v>Spring 2033</v>
      </c>
      <c r="AB318" s="53" t="str">
        <f t="shared" si="518"/>
        <v>Spring 2034</v>
      </c>
      <c r="AC318" s="53" t="str">
        <f t="shared" si="518"/>
        <v>Spring 2035</v>
      </c>
      <c r="AD318" s="53" t="str">
        <f t="shared" ref="AD318" si="519">+AD237</f>
        <v>Spring 2036</v>
      </c>
    </row>
    <row r="319" spans="1:33" x14ac:dyDescent="0.25">
      <c r="A319" s="201" t="s">
        <v>21</v>
      </c>
      <c r="B319" s="110">
        <f t="shared" ref="B319:K319" si="520">ROUND((B316*B318*$Q$41)+(C316*B318*$Q$42),0)</f>
        <v>0</v>
      </c>
      <c r="C319" s="110">
        <f t="shared" si="520"/>
        <v>0</v>
      </c>
      <c r="D319" s="110">
        <f t="shared" si="520"/>
        <v>0</v>
      </c>
      <c r="E319" s="110">
        <f t="shared" si="520"/>
        <v>0</v>
      </c>
      <c r="F319" s="110">
        <f t="shared" si="520"/>
        <v>0</v>
      </c>
      <c r="G319" s="110">
        <f t="shared" si="520"/>
        <v>0</v>
      </c>
      <c r="H319" s="110">
        <f t="shared" si="520"/>
        <v>0</v>
      </c>
      <c r="I319" s="110">
        <f t="shared" si="520"/>
        <v>0</v>
      </c>
      <c r="J319" s="110">
        <f t="shared" si="520"/>
        <v>0</v>
      </c>
      <c r="K319" s="110">
        <f t="shared" si="520"/>
        <v>0</v>
      </c>
      <c r="L319" s="110">
        <f>ROUND((L316*L318*$Q$41)+(N316*L318*$Q$42),0)</f>
        <v>0</v>
      </c>
      <c r="M319" s="110">
        <f>ROUND((M316*M318*$Q$41)+(O316*M318*$Q$42),0)</f>
        <v>0</v>
      </c>
      <c r="N319" s="402"/>
      <c r="O319" s="89"/>
      <c r="P319" s="89"/>
      <c r="Q319" s="204"/>
      <c r="S319" s="53" t="str">
        <f t="shared" ref="S319:AC319" si="521">+S238</f>
        <v>Summer 2025</v>
      </c>
      <c r="T319" s="53" t="str">
        <f t="shared" si="521"/>
        <v>Summer 2026</v>
      </c>
      <c r="U319" s="53" t="str">
        <f t="shared" si="521"/>
        <v>Summer 2027</v>
      </c>
      <c r="V319" s="53" t="str">
        <f t="shared" si="521"/>
        <v>Summer 2028</v>
      </c>
      <c r="W319" s="53" t="str">
        <f t="shared" si="521"/>
        <v>Summer 2029</v>
      </c>
      <c r="X319" s="53" t="str">
        <f t="shared" si="521"/>
        <v>Summer 2030</v>
      </c>
      <c r="Y319" s="53" t="str">
        <f t="shared" si="521"/>
        <v>Summer 2031</v>
      </c>
      <c r="Z319" s="53" t="str">
        <f t="shared" si="521"/>
        <v>Summer 2032</v>
      </c>
      <c r="AA319" s="53" t="str">
        <f t="shared" si="521"/>
        <v>Summer 2033</v>
      </c>
      <c r="AB319" s="53" t="str">
        <f t="shared" si="521"/>
        <v>Summer 2034</v>
      </c>
      <c r="AC319" s="53" t="str">
        <f t="shared" si="521"/>
        <v>Summer 2035</v>
      </c>
      <c r="AD319" s="53" t="str">
        <f t="shared" ref="AD319" si="522">+AD238</f>
        <v>Summer 2036</v>
      </c>
    </row>
    <row r="320" spans="1:33" x14ac:dyDescent="0.25">
      <c r="A320" s="201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6"/>
      <c r="P320" s="26"/>
      <c r="Q320" s="205"/>
      <c r="S320" s="53" t="str">
        <f t="shared" ref="S320:AC320" si="523">+S239</f>
        <v>Fall 2025</v>
      </c>
      <c r="T320" s="53" t="str">
        <f t="shared" si="523"/>
        <v>Fall 2026</v>
      </c>
      <c r="U320" s="53" t="str">
        <f t="shared" si="523"/>
        <v>Fall 2027</v>
      </c>
      <c r="V320" s="53" t="str">
        <f t="shared" si="523"/>
        <v>Fall 2028</v>
      </c>
      <c r="W320" s="53" t="str">
        <f t="shared" si="523"/>
        <v>Fall 2029</v>
      </c>
      <c r="X320" s="53" t="str">
        <f t="shared" si="523"/>
        <v>Fall 2030</v>
      </c>
      <c r="Y320" s="53" t="str">
        <f t="shared" si="523"/>
        <v>Fall 2031</v>
      </c>
      <c r="Z320" s="53" t="str">
        <f t="shared" si="523"/>
        <v>Fall 2032</v>
      </c>
      <c r="AA320" s="53" t="str">
        <f t="shared" si="523"/>
        <v>Fall 2033</v>
      </c>
      <c r="AB320" s="53" t="str">
        <f t="shared" si="523"/>
        <v>Fall 2034</v>
      </c>
      <c r="AC320" s="53" t="str">
        <f t="shared" si="523"/>
        <v>Fall 2035</v>
      </c>
      <c r="AD320" s="53" t="str">
        <f t="shared" ref="AD320" si="524">+AD239</f>
        <v>Fall 2036</v>
      </c>
    </row>
    <row r="321" spans="1:30" x14ac:dyDescent="0.25">
      <c r="A321" s="201"/>
      <c r="B321" s="104" t="str">
        <f t="shared" ref="B321:L321" si="525">IF(AND(B322=$AE$5,$O323=9),$AE$3,IF(AND(B322=$AF$5,$O323=9),$AF$3,IF(AND(B322=$AG$5,$O323=9),$AG$3,IF(AND(B322=$AH$5,$O323=9),$AH$3,IF(AND(B322=$AI$5,$O323=9),$AI$3,IF(AND(B322=$AJ$5,$O323=9),$AJ$3,IF(AND(B322=$AK$5,$O323=9),$AK$3,IF(AND(B322=$AL$5,$O323=9),$AL$3,IF(AND(B322=$AM$5,$O323=9),$AM$3,IF(AND(B322=$AN$5,$O323=9),$AN$3,IF(AND(B322=$AO$5,$O323=9),$AO$3,IF(AND(B322=$AP$5,$O323=9),$AJ$3,IF(AND(B322=$AE$4,$O323=12),$AE$3,IF(AND(B322=$AF$4,$O323=12),$AF$3,IF(AND(B322=$AG$4,$O323=12),$AG$3,IF(AND(B322=$AH$4,$O323=12),$AH$3,IF(AND(B322=$AI$4,$O323=12),$AI$3,IF(AND(B322=$AJ$4,$O323=12),$AJ$3,IF(AND(B322=$AK$4,$O323=12),$AK$3,IF(AND(B322=$AL$4,$O323=12),$AL$3,IF(AND(B322=$AM$4,$O323=12),$AM$3,IF(AND(B322=$AN$4,$O323=12),$AN$3,IF(AND(B322=$AO$4,$O323=12),$AO$3,IF(AND(B322=$AP$4,$O323=12),$AJ$3," "))))))))))))))))))))))))</f>
        <v>Year 1</v>
      </c>
      <c r="C321" s="104" t="str">
        <f t="shared" si="525"/>
        <v>Year 2</v>
      </c>
      <c r="D321" s="104" t="str">
        <f t="shared" si="525"/>
        <v>Year 3</v>
      </c>
      <c r="E321" s="104" t="str">
        <f t="shared" si="525"/>
        <v>Year 4</v>
      </c>
      <c r="F321" s="104" t="str">
        <f t="shared" si="525"/>
        <v>Year 5</v>
      </c>
      <c r="G321" s="104" t="str">
        <f t="shared" si="525"/>
        <v>Year 6</v>
      </c>
      <c r="H321" s="104" t="str">
        <f t="shared" si="525"/>
        <v>Year 7</v>
      </c>
      <c r="I321" s="104" t="str">
        <f t="shared" si="525"/>
        <v>Year 8</v>
      </c>
      <c r="J321" s="104" t="str">
        <f t="shared" si="525"/>
        <v>Year 9</v>
      </c>
      <c r="K321" s="104" t="str">
        <f t="shared" si="525"/>
        <v>Year 10</v>
      </c>
      <c r="L321" s="104" t="str">
        <f t="shared" si="525"/>
        <v>Year 11</v>
      </c>
      <c r="M321" s="104" t="str">
        <f t="shared" ref="M321" si="526">IF(AND(M322=$AE$5,$O323=9),$AE$3,IF(AND(M322=$AF$5,$O323=9),$AF$3,IF(AND(M322=$AG$5,$O323=9),$AG$3,IF(AND(M322=$AH$5,$O323=9),$AH$3,IF(AND(M322=$AI$5,$O323=9),$AI$3,IF(AND(M322=$AJ$5,$O323=9),$AJ$3,IF(AND(M322=$AK$5,$O323=9),$AK$3,IF(AND(M322=$AL$5,$O323=9),$AL$3,IF(AND(M322=$AM$5,$O323=9),$AM$3,IF(AND(M322=$AN$5,$O323=9),$AN$3,IF(AND(M322=$AO$5,$O323=9),$AO$3,IF(AND(M322=$AP$5,$O323=9),$AJ$3,IF(AND(M322=$AE$4,$O323=12),$AE$3,IF(AND(M322=$AF$4,$O323=12),$AF$3,IF(AND(M322=$AG$4,$O323=12),$AG$3,IF(AND(M322=$AH$4,$O323=12),$AH$3,IF(AND(M322=$AI$4,$O323=12),$AI$3,IF(AND(M322=$AJ$4,$O323=12),$AJ$3,IF(AND(M322=$AK$4,$O323=12),$AK$3,IF(AND(M322=$AL$4,$O323=12),$AL$3,IF(AND(M322=$AM$4,$O323=12),$AM$3,IF(AND(M322=$AN$4,$O323=12),$AN$3,IF(AND(M322=$AO$4,$O323=12),$AO$3,IF(AND(M322=$AP$4,$O323=12),$AJ$3," "))))))))))))))))))))))))</f>
        <v>Year 6</v>
      </c>
      <c r="N321" s="104"/>
      <c r="O321" s="26"/>
      <c r="P321" s="26"/>
      <c r="Q321" s="205"/>
      <c r="S321" s="34" t="str">
        <f t="shared" ref="S321:AC321" si="527">+S240</f>
        <v>FY2025&amp;26</v>
      </c>
      <c r="T321" s="34" t="str">
        <f t="shared" si="527"/>
        <v>FY2026&amp;27</v>
      </c>
      <c r="U321" s="34" t="str">
        <f t="shared" si="527"/>
        <v>FY2027&amp;28</v>
      </c>
      <c r="V321" s="34" t="str">
        <f t="shared" si="527"/>
        <v>FY2028&amp;29</v>
      </c>
      <c r="W321" s="34" t="str">
        <f t="shared" si="527"/>
        <v>FY2029&amp;30</v>
      </c>
      <c r="X321" s="34" t="str">
        <f t="shared" si="527"/>
        <v>FY2030&amp;31</v>
      </c>
      <c r="Y321" s="34" t="str">
        <f t="shared" si="527"/>
        <v>FY2031&amp;32</v>
      </c>
      <c r="Z321" s="34" t="str">
        <f t="shared" si="527"/>
        <v>FY2032&amp;33</v>
      </c>
      <c r="AA321" s="34" t="str">
        <f t="shared" si="527"/>
        <v>FY2033&amp;34</v>
      </c>
      <c r="AB321" s="34" t="str">
        <f t="shared" si="527"/>
        <v>FY2034&amp;35</v>
      </c>
      <c r="AC321" s="34" t="str">
        <f t="shared" si="527"/>
        <v>FY2035&amp;36</v>
      </c>
      <c r="AD321" s="34" t="str">
        <f t="shared" ref="AD321" si="528">+AD240</f>
        <v>FY2036&amp;</v>
      </c>
    </row>
    <row r="322" spans="1:30" ht="15.75" thickBot="1" x14ac:dyDescent="0.3">
      <c r="A322" s="200" t="s">
        <v>74</v>
      </c>
      <c r="B322" s="55" t="str">
        <f t="shared" ref="B322:I322" si="529">+N$2</f>
        <v>FY2025</v>
      </c>
      <c r="C322" s="55" t="str">
        <f t="shared" si="529"/>
        <v>FY2026</v>
      </c>
      <c r="D322" s="55" t="str">
        <f t="shared" si="529"/>
        <v>FY2027</v>
      </c>
      <c r="E322" s="55" t="str">
        <f t="shared" si="529"/>
        <v>FY2028</v>
      </c>
      <c r="F322" s="55" t="str">
        <f t="shared" si="529"/>
        <v>FY2029</v>
      </c>
      <c r="G322" s="55" t="str">
        <f t="shared" si="529"/>
        <v>FY2030</v>
      </c>
      <c r="H322" s="55" t="str">
        <f t="shared" si="529"/>
        <v>FY2031</v>
      </c>
      <c r="I322" s="55" t="str">
        <f t="shared" si="529"/>
        <v>FY2032</v>
      </c>
      <c r="J322" s="55" t="str">
        <f t="shared" ref="J322" si="530">+V$2</f>
        <v>FY2033</v>
      </c>
      <c r="K322" s="55" t="str">
        <f t="shared" ref="K322:M322" si="531">+W$2</f>
        <v>FY2034</v>
      </c>
      <c r="L322" s="55" t="str">
        <f t="shared" si="531"/>
        <v>FY2035</v>
      </c>
      <c r="M322" s="55" t="str">
        <f t="shared" si="531"/>
        <v>FY2036</v>
      </c>
      <c r="N322" s="55"/>
      <c r="O322" s="32" t="s">
        <v>20</v>
      </c>
      <c r="P322" s="89"/>
      <c r="Q322" s="204"/>
      <c r="R322" s="35" t="s">
        <v>71</v>
      </c>
      <c r="S322" s="50" t="s">
        <v>1</v>
      </c>
      <c r="T322" s="51" t="s">
        <v>2</v>
      </c>
      <c r="U322" s="51" t="s">
        <v>3</v>
      </c>
      <c r="V322" s="51" t="s">
        <v>39</v>
      </c>
      <c r="W322" s="51" t="s">
        <v>45</v>
      </c>
      <c r="X322" s="51" t="s">
        <v>183</v>
      </c>
      <c r="Y322" s="51" t="s">
        <v>184</v>
      </c>
      <c r="Z322" s="51" t="s">
        <v>185</v>
      </c>
      <c r="AA322" s="51" t="s">
        <v>186</v>
      </c>
      <c r="AB322" s="51" t="s">
        <v>187</v>
      </c>
      <c r="AC322" s="51" t="s">
        <v>188</v>
      </c>
      <c r="AD322" s="51" t="s">
        <v>189</v>
      </c>
    </row>
    <row r="323" spans="1:30" x14ac:dyDescent="0.25">
      <c r="A323" s="201" t="str">
        <f>CONCATENATE("Base Salary: ",O323," month term")</f>
        <v>Base Salary: 12 month term</v>
      </c>
      <c r="B323" s="313">
        <v>47476</v>
      </c>
      <c r="C323" s="440">
        <f t="shared" ref="C323:M323" si="532">ROUND(+B323*(1+(HLOOKUP(C322,FringeAndIDCRates,11,FALSE))),0)</f>
        <v>49138</v>
      </c>
      <c r="D323" s="440">
        <f t="shared" si="532"/>
        <v>50760</v>
      </c>
      <c r="E323" s="440">
        <f t="shared" si="532"/>
        <v>52283</v>
      </c>
      <c r="F323" s="440">
        <f t="shared" si="532"/>
        <v>53851</v>
      </c>
      <c r="G323" s="440">
        <f t="shared" si="532"/>
        <v>55467</v>
      </c>
      <c r="H323" s="440">
        <f t="shared" si="532"/>
        <v>57131</v>
      </c>
      <c r="I323" s="440">
        <f t="shared" si="532"/>
        <v>58845</v>
      </c>
      <c r="J323" s="440">
        <f t="shared" si="532"/>
        <v>60610</v>
      </c>
      <c r="K323" s="440">
        <f t="shared" si="532"/>
        <v>62428</v>
      </c>
      <c r="L323" s="440">
        <f t="shared" si="532"/>
        <v>64301</v>
      </c>
      <c r="M323" s="440">
        <f t="shared" si="532"/>
        <v>66230</v>
      </c>
      <c r="N323" s="109"/>
      <c r="O323" s="317">
        <v>12</v>
      </c>
      <c r="P323" s="311"/>
      <c r="Q323" s="206"/>
      <c r="R323" s="61" t="str">
        <f>CONCATENATE("Number of Students ",IF(AND($AD$2&gt;=7,$AD$2&lt;=9),CONCATENATE("(Fall)"),IF(AND($AD$2&gt;=7,$AD$2&lt;=10),CONCATENATE("(Spring)"),IF(OR($AD$2&gt;=10,$AD$2&lt;=2),CONCATENATE("(Spring)"),IF(AND($AD$2&gt;=7,$AD$2&lt;=10),CONCATENATE("(Summer)"),IF(OR($AD$2&gt;=10,$AD$2&lt;=2),CONCATENATE("(Summer)"),IF(AND($AD$2&gt;=3,$AD$2&lt;=6),CONCATENATE("(Summer)"),"N/A")))))))</f>
        <v>Number of Students (Spring)</v>
      </c>
      <c r="S323" s="60">
        <f t="shared" ref="S323:X325" si="533">+B329</f>
        <v>0</v>
      </c>
      <c r="T323" s="60">
        <f t="shared" si="533"/>
        <v>0</v>
      </c>
      <c r="U323" s="60">
        <f t="shared" si="533"/>
        <v>0</v>
      </c>
      <c r="V323" s="60">
        <f t="shared" si="533"/>
        <v>0</v>
      </c>
      <c r="W323" s="60">
        <f t="shared" si="533"/>
        <v>0</v>
      </c>
      <c r="X323" s="60">
        <f t="shared" si="533"/>
        <v>0</v>
      </c>
      <c r="Y323" s="60">
        <f t="shared" ref="Y323:Y325" si="534">+H329</f>
        <v>0</v>
      </c>
      <c r="Z323" s="60">
        <f t="shared" ref="Z323:Z325" si="535">+I329</f>
        <v>0</v>
      </c>
      <c r="AA323" s="60">
        <f t="shared" ref="AA323:AA325" si="536">+J329</f>
        <v>0</v>
      </c>
      <c r="AB323" s="60">
        <f t="shared" ref="AB323:AB325" si="537">+K329</f>
        <v>0</v>
      </c>
      <c r="AC323" s="60">
        <f t="shared" ref="AC323:AD325" si="538">+L329</f>
        <v>0</v>
      </c>
      <c r="AD323" s="60">
        <f t="shared" si="538"/>
        <v>0</v>
      </c>
    </row>
    <row r="324" spans="1:30" x14ac:dyDescent="0.25">
      <c r="A324" s="201" t="s">
        <v>44</v>
      </c>
      <c r="B324" s="312">
        <v>0</v>
      </c>
      <c r="C324" s="312">
        <v>0</v>
      </c>
      <c r="D324" s="312">
        <v>0</v>
      </c>
      <c r="E324" s="312">
        <v>0</v>
      </c>
      <c r="F324" s="312">
        <v>0</v>
      </c>
      <c r="G324" s="312">
        <v>0</v>
      </c>
      <c r="H324" s="312">
        <v>0</v>
      </c>
      <c r="I324" s="312">
        <v>0</v>
      </c>
      <c r="J324" s="312">
        <v>0</v>
      </c>
      <c r="K324" s="312">
        <v>0</v>
      </c>
      <c r="L324" s="312">
        <v>0</v>
      </c>
      <c r="M324" s="312">
        <v>0</v>
      </c>
      <c r="N324" s="400"/>
      <c r="O324" s="25"/>
      <c r="P324" s="25"/>
      <c r="Q324" s="201"/>
      <c r="R324" s="115" t="str">
        <f>CONCATENATE("Number of Students ",IF(AND($AD$2&gt;=7,$AD$2&lt;=9),CONCATENATE("(Spring)"),IF(AND($AD$2&gt;=7,$AD$2&lt;=10),CONCATENATE("(Summer)"),IF(OR($AD$2&gt;=10,$AD$2&lt;=2),CONCATENATE("(Summer)"),IF(AND($AD$2&gt;=7,$AD$2&lt;=10),CONCATENATE("(Fall)"),IF(OR($AD$2&gt;=10,$AD$2&lt;=2),CONCATENATE("(Fall) "),IF(AND($AD$2&gt;=3,$AD$2&lt;=6),CONCATENATE("(Fall)"),"N/A")))))))</f>
        <v>Number of Students (Summer)</v>
      </c>
      <c r="S324" s="60">
        <f t="shared" si="533"/>
        <v>0</v>
      </c>
      <c r="T324" s="60">
        <f t="shared" si="533"/>
        <v>0</v>
      </c>
      <c r="U324" s="60">
        <f t="shared" si="533"/>
        <v>0</v>
      </c>
      <c r="V324" s="60">
        <f t="shared" si="533"/>
        <v>0</v>
      </c>
      <c r="W324" s="60">
        <f t="shared" si="533"/>
        <v>0</v>
      </c>
      <c r="X324" s="60">
        <f t="shared" si="533"/>
        <v>0</v>
      </c>
      <c r="Y324" s="60">
        <f t="shared" si="534"/>
        <v>0</v>
      </c>
      <c r="Z324" s="60">
        <f t="shared" si="535"/>
        <v>0</v>
      </c>
      <c r="AA324" s="60">
        <f t="shared" si="536"/>
        <v>0</v>
      </c>
      <c r="AB324" s="60">
        <f t="shared" si="537"/>
        <v>0</v>
      </c>
      <c r="AC324" s="60">
        <f t="shared" si="538"/>
        <v>0</v>
      </c>
      <c r="AD324" s="60">
        <f t="shared" si="538"/>
        <v>0</v>
      </c>
    </row>
    <row r="325" spans="1:30" x14ac:dyDescent="0.25">
      <c r="A325" s="201" t="str">
        <f>CONCATENATE("FTE for ",O323," Months")</f>
        <v>FTE for 12 Months</v>
      </c>
      <c r="B325" s="393">
        <f t="shared" ref="B325:L325" si="539">+B324/$O323</f>
        <v>0</v>
      </c>
      <c r="C325" s="393">
        <f t="shared" si="539"/>
        <v>0</v>
      </c>
      <c r="D325" s="393">
        <f t="shared" si="539"/>
        <v>0</v>
      </c>
      <c r="E325" s="393">
        <f t="shared" si="539"/>
        <v>0</v>
      </c>
      <c r="F325" s="393">
        <f t="shared" si="539"/>
        <v>0</v>
      </c>
      <c r="G325" s="393">
        <f t="shared" si="539"/>
        <v>0</v>
      </c>
      <c r="H325" s="393">
        <f t="shared" si="539"/>
        <v>0</v>
      </c>
      <c r="I325" s="393">
        <f t="shared" si="539"/>
        <v>0</v>
      </c>
      <c r="J325" s="393">
        <f t="shared" si="539"/>
        <v>0</v>
      </c>
      <c r="K325" s="393">
        <f t="shared" si="539"/>
        <v>0</v>
      </c>
      <c r="L325" s="393">
        <f t="shared" si="539"/>
        <v>0</v>
      </c>
      <c r="M325" s="393">
        <f t="shared" ref="M325" si="540">+M324/$O323</f>
        <v>0</v>
      </c>
      <c r="N325" s="401"/>
      <c r="O325" s="89"/>
      <c r="P325" s="89"/>
      <c r="Q325" s="204"/>
      <c r="R325" s="115" t="str">
        <f>CONCATENATE("Number of Students ",IF(AND($AD$2&gt;=7,$AD$2&lt;=9),CONCATENATE("(Summer)"),IF(AND($AD$2&gt;=7,$AD$2&lt;=10),CONCATENATE("(Fall)"),IF(OR($AD$2&gt;=10,$AD$2&lt;=2),CONCATENATE("(Fall)"),IF(AND($AD$2&gt;=7,$AD$2&lt;=10),CONCATENATE("(Spring)"),IF(OR($AD$2&gt;=10,$AD$2&lt;=2),CONCATENATE("(Spring)"),IF(AND($AD$2&gt;=3,$AD$2&lt;=6),CONCATENATE("(Spring)"),"N/A")))))))</f>
        <v>Number of Students (Fall)</v>
      </c>
      <c r="S325" s="60">
        <f t="shared" si="533"/>
        <v>0</v>
      </c>
      <c r="T325" s="60">
        <f t="shared" si="533"/>
        <v>0</v>
      </c>
      <c r="U325" s="60">
        <f t="shared" si="533"/>
        <v>0</v>
      </c>
      <c r="V325" s="60">
        <f t="shared" si="533"/>
        <v>0</v>
      </c>
      <c r="W325" s="60">
        <f t="shared" si="533"/>
        <v>0</v>
      </c>
      <c r="X325" s="60">
        <f t="shared" si="533"/>
        <v>0</v>
      </c>
      <c r="Y325" s="60">
        <f t="shared" si="534"/>
        <v>0</v>
      </c>
      <c r="Z325" s="60">
        <f t="shared" si="535"/>
        <v>0</v>
      </c>
      <c r="AA325" s="60">
        <f t="shared" si="536"/>
        <v>0</v>
      </c>
      <c r="AB325" s="60">
        <f t="shared" si="537"/>
        <v>0</v>
      </c>
      <c r="AC325" s="60">
        <f t="shared" si="538"/>
        <v>0</v>
      </c>
      <c r="AD325" s="60">
        <f t="shared" si="538"/>
        <v>0</v>
      </c>
    </row>
    <row r="326" spans="1:30" x14ac:dyDescent="0.25">
      <c r="A326" s="201" t="s">
        <v>21</v>
      </c>
      <c r="B326" s="110">
        <f t="shared" ref="B326:K326" si="541">ROUND((B323*B325*$Q$41)+(C323*B325*$Q$42),0)</f>
        <v>0</v>
      </c>
      <c r="C326" s="110">
        <f t="shared" si="541"/>
        <v>0</v>
      </c>
      <c r="D326" s="110">
        <f t="shared" si="541"/>
        <v>0</v>
      </c>
      <c r="E326" s="110">
        <f t="shared" si="541"/>
        <v>0</v>
      </c>
      <c r="F326" s="110">
        <f t="shared" si="541"/>
        <v>0</v>
      </c>
      <c r="G326" s="110">
        <f t="shared" si="541"/>
        <v>0</v>
      </c>
      <c r="H326" s="110">
        <f t="shared" si="541"/>
        <v>0</v>
      </c>
      <c r="I326" s="110">
        <f t="shared" si="541"/>
        <v>0</v>
      </c>
      <c r="J326" s="110">
        <f t="shared" si="541"/>
        <v>0</v>
      </c>
      <c r="K326" s="110">
        <f t="shared" si="541"/>
        <v>0</v>
      </c>
      <c r="L326" s="110">
        <f>ROUND((L323*L325*$Q$41)+(N323*L325*$Q$42),0)</f>
        <v>0</v>
      </c>
      <c r="M326" s="110">
        <f>ROUND((M323*M325*$Q$41)+(O323*M325*$Q$42),0)</f>
        <v>0</v>
      </c>
      <c r="N326" s="402"/>
      <c r="O326" s="89"/>
      <c r="P326" s="89"/>
      <c r="Q326" s="204"/>
      <c r="R326" s="25"/>
      <c r="S326" s="33"/>
      <c r="T326" s="33"/>
      <c r="U326" s="33"/>
      <c r="V326" s="33"/>
      <c r="W326" s="33"/>
      <c r="X326" s="33"/>
      <c r="Y326" s="23"/>
    </row>
    <row r="327" spans="1:30" x14ac:dyDescent="0.25">
      <c r="A327" s="201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89"/>
      <c r="P327" s="89"/>
      <c r="Q327" s="204"/>
      <c r="R327" s="25"/>
      <c r="S327" s="33"/>
      <c r="T327" s="33"/>
      <c r="U327" s="33"/>
      <c r="V327" s="33"/>
      <c r="W327" s="33"/>
      <c r="X327" s="33"/>
      <c r="Y327" s="23"/>
    </row>
    <row r="328" spans="1:30" ht="15.75" thickBot="1" x14ac:dyDescent="0.3">
      <c r="A328" s="200" t="s">
        <v>70</v>
      </c>
      <c r="B328" s="24" t="s">
        <v>1</v>
      </c>
      <c r="C328" s="24" t="s">
        <v>2</v>
      </c>
      <c r="D328" s="24" t="s">
        <v>3</v>
      </c>
      <c r="E328" s="24" t="s">
        <v>39</v>
      </c>
      <c r="F328" s="24" t="s">
        <v>45</v>
      </c>
      <c r="G328" s="24" t="s">
        <v>183</v>
      </c>
      <c r="H328" s="24" t="s">
        <v>184</v>
      </c>
      <c r="I328" s="24" t="s">
        <v>185</v>
      </c>
      <c r="J328" s="24" t="s">
        <v>186</v>
      </c>
      <c r="K328" s="24" t="s">
        <v>187</v>
      </c>
      <c r="L328" s="24"/>
      <c r="M328" s="24"/>
      <c r="N328" s="23"/>
      <c r="O328" s="89"/>
      <c r="P328" s="89"/>
      <c r="Q328" s="204"/>
      <c r="R328" s="422" t="s">
        <v>105</v>
      </c>
      <c r="S328" s="50" t="s">
        <v>1</v>
      </c>
      <c r="T328" s="51" t="s">
        <v>2</v>
      </c>
      <c r="U328" s="51" t="s">
        <v>3</v>
      </c>
      <c r="V328" s="51" t="s">
        <v>39</v>
      </c>
      <c r="W328" s="51" t="s">
        <v>45</v>
      </c>
      <c r="X328" s="51" t="s">
        <v>183</v>
      </c>
      <c r="Y328" s="51" t="s">
        <v>184</v>
      </c>
      <c r="Z328" s="51" t="s">
        <v>185</v>
      </c>
      <c r="AA328" s="51" t="s">
        <v>186</v>
      </c>
      <c r="AB328" s="51" t="s">
        <v>187</v>
      </c>
    </row>
    <row r="329" spans="1:30" x14ac:dyDescent="0.25">
      <c r="A329" s="201" t="str">
        <f>+R323</f>
        <v>Number of Students (Spring)</v>
      </c>
      <c r="B329" s="314">
        <v>0</v>
      </c>
      <c r="C329" s="314">
        <v>0</v>
      </c>
      <c r="D329" s="314">
        <v>0</v>
      </c>
      <c r="E329" s="314">
        <v>0</v>
      </c>
      <c r="F329" s="314">
        <v>0</v>
      </c>
      <c r="G329" s="314">
        <v>0</v>
      </c>
      <c r="H329" s="314">
        <v>0</v>
      </c>
      <c r="I329" s="314">
        <v>0</v>
      </c>
      <c r="J329" s="314">
        <v>0</v>
      </c>
      <c r="K329" s="314">
        <v>0</v>
      </c>
      <c r="L329" s="315"/>
      <c r="M329" s="315"/>
      <c r="N329" s="23"/>
      <c r="O329" s="89"/>
      <c r="P329" s="89"/>
      <c r="Q329" s="204"/>
      <c r="R329" s="36" t="s">
        <v>22</v>
      </c>
      <c r="S329" s="37">
        <f>SUM(S339:S341)</f>
        <v>0</v>
      </c>
      <c r="T329" s="37">
        <f>SUM(T339:T341)</f>
        <v>0</v>
      </c>
      <c r="U329" s="37">
        <f>SUM(U339:U341)</f>
        <v>0</v>
      </c>
      <c r="V329" s="37">
        <f>SUM(V339:V341)</f>
        <v>0</v>
      </c>
      <c r="W329" s="37">
        <f t="shared" ref="W329:AB329" si="542">SUM(W339:W341)</f>
        <v>0</v>
      </c>
      <c r="X329" s="37">
        <f t="shared" si="542"/>
        <v>0</v>
      </c>
      <c r="Y329" s="37">
        <f t="shared" si="542"/>
        <v>0</v>
      </c>
      <c r="Z329" s="37">
        <f t="shared" si="542"/>
        <v>0</v>
      </c>
      <c r="AA329" s="37">
        <f t="shared" si="542"/>
        <v>0</v>
      </c>
      <c r="AB329" s="37">
        <f t="shared" si="542"/>
        <v>0</v>
      </c>
    </row>
    <row r="330" spans="1:30" x14ac:dyDescent="0.25">
      <c r="A330" s="201" t="str">
        <f>+R324</f>
        <v>Number of Students (Summer)</v>
      </c>
      <c r="B330" s="315">
        <f>+B329</f>
        <v>0</v>
      </c>
      <c r="C330" s="315">
        <f>+C329</f>
        <v>0</v>
      </c>
      <c r="D330" s="315">
        <f>+D329</f>
        <v>0</v>
      </c>
      <c r="E330" s="315">
        <f>+E329</f>
        <v>0</v>
      </c>
      <c r="F330" s="315">
        <f>+F329</f>
        <v>0</v>
      </c>
      <c r="G330" s="315">
        <f t="shared" ref="G330:K330" si="543">+G329</f>
        <v>0</v>
      </c>
      <c r="H330" s="315">
        <f t="shared" si="543"/>
        <v>0</v>
      </c>
      <c r="I330" s="315">
        <f t="shared" si="543"/>
        <v>0</v>
      </c>
      <c r="J330" s="315">
        <f t="shared" si="543"/>
        <v>0</v>
      </c>
      <c r="K330" s="315">
        <f t="shared" si="543"/>
        <v>0</v>
      </c>
      <c r="L330" s="315"/>
      <c r="M330" s="315"/>
      <c r="N330" s="23"/>
      <c r="O330" s="89"/>
      <c r="P330" s="89"/>
      <c r="Q330" s="204"/>
      <c r="R330" s="36" t="s">
        <v>8</v>
      </c>
      <c r="S330" s="37">
        <f>SUM(S342:S344)</f>
        <v>0</v>
      </c>
      <c r="T330" s="37">
        <f>SUM(T342:T344)</f>
        <v>0</v>
      </c>
      <c r="U330" s="37">
        <f>SUM(U342:U344)</f>
        <v>0</v>
      </c>
      <c r="V330" s="37">
        <f>SUM(V342:V344)</f>
        <v>0</v>
      </c>
      <c r="W330" s="37">
        <f t="shared" ref="W330:AB330" si="544">SUM(W342:W344)</f>
        <v>0</v>
      </c>
      <c r="X330" s="37">
        <f t="shared" si="544"/>
        <v>0</v>
      </c>
      <c r="Y330" s="37">
        <f t="shared" si="544"/>
        <v>0</v>
      </c>
      <c r="Z330" s="37">
        <f t="shared" si="544"/>
        <v>0</v>
      </c>
      <c r="AA330" s="37">
        <f t="shared" si="544"/>
        <v>0</v>
      </c>
      <c r="AB330" s="37">
        <f t="shared" si="544"/>
        <v>0</v>
      </c>
    </row>
    <row r="331" spans="1:30" x14ac:dyDescent="0.25">
      <c r="A331" s="201" t="str">
        <f>+R325</f>
        <v>Number of Students (Fall)</v>
      </c>
      <c r="B331" s="315">
        <f>+B329</f>
        <v>0</v>
      </c>
      <c r="C331" s="315">
        <f>+C329</f>
        <v>0</v>
      </c>
      <c r="D331" s="315">
        <f>+D329</f>
        <v>0</v>
      </c>
      <c r="E331" s="315">
        <f>+E329</f>
        <v>0</v>
      </c>
      <c r="F331" s="315">
        <f>+F329</f>
        <v>0</v>
      </c>
      <c r="G331" s="315">
        <f t="shared" ref="G331:K331" si="545">+G329</f>
        <v>0</v>
      </c>
      <c r="H331" s="315">
        <f t="shared" si="545"/>
        <v>0</v>
      </c>
      <c r="I331" s="315">
        <f t="shared" si="545"/>
        <v>0</v>
      </c>
      <c r="J331" s="315">
        <f t="shared" si="545"/>
        <v>0</v>
      </c>
      <c r="K331" s="315">
        <f t="shared" si="545"/>
        <v>0</v>
      </c>
      <c r="L331" s="315"/>
      <c r="M331" s="315"/>
      <c r="N331" s="23"/>
      <c r="O331" s="89"/>
      <c r="P331" s="89"/>
      <c r="Q331" s="204"/>
      <c r="R331" s="36" t="s">
        <v>9</v>
      </c>
      <c r="S331" s="37">
        <f>SUM(S345:S347)</f>
        <v>0</v>
      </c>
      <c r="T331" s="37">
        <f>SUM(T345:T347)</f>
        <v>0</v>
      </c>
      <c r="U331" s="37">
        <f>SUM(U345:U347)</f>
        <v>0</v>
      </c>
      <c r="V331" s="37">
        <f>SUM(V345:V347)</f>
        <v>0</v>
      </c>
      <c r="W331" s="37">
        <f t="shared" ref="W331:AB331" si="546">SUM(W345:W347)</f>
        <v>0</v>
      </c>
      <c r="X331" s="37">
        <f t="shared" si="546"/>
        <v>0</v>
      </c>
      <c r="Y331" s="37">
        <f t="shared" si="546"/>
        <v>0</v>
      </c>
      <c r="Z331" s="37">
        <f t="shared" si="546"/>
        <v>0</v>
      </c>
      <c r="AA331" s="37">
        <f t="shared" si="546"/>
        <v>0</v>
      </c>
      <c r="AB331" s="37">
        <f t="shared" si="546"/>
        <v>0</v>
      </c>
    </row>
    <row r="332" spans="1:30" ht="15.75" thickBot="1" x14ac:dyDescent="0.3">
      <c r="A332" s="201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23"/>
      <c r="O332" s="89"/>
      <c r="P332" s="89"/>
      <c r="Q332" s="204"/>
      <c r="R332" s="38" t="s">
        <v>31</v>
      </c>
      <c r="S332" s="39">
        <f>SUM(S329:S331)</f>
        <v>0</v>
      </c>
      <c r="T332" s="39">
        <f>SUM(T329:T331)</f>
        <v>0</v>
      </c>
      <c r="U332" s="39">
        <f>SUM(U329:U331)</f>
        <v>0</v>
      </c>
      <c r="V332" s="39">
        <f>SUM(V329:V331)</f>
        <v>0</v>
      </c>
      <c r="W332" s="39">
        <f t="shared" ref="W332" si="547">SUM(W329:W331)</f>
        <v>0</v>
      </c>
      <c r="X332" s="39">
        <f t="shared" ref="X332" si="548">SUM(X329:X331)</f>
        <v>0</v>
      </c>
      <c r="Y332" s="39">
        <f t="shared" ref="Y332" si="549">SUM(Y329:Y331)</f>
        <v>0</v>
      </c>
      <c r="Z332" s="39">
        <f t="shared" ref="Z332" si="550">SUM(Z329:Z331)</f>
        <v>0</v>
      </c>
      <c r="AA332" s="39">
        <f t="shared" ref="AA332" si="551">SUM(AA329:AA331)</f>
        <v>0</v>
      </c>
      <c r="AB332" s="39">
        <f t="shared" ref="AB332" si="552">SUM(AB329:AB331)</f>
        <v>0</v>
      </c>
    </row>
    <row r="333" spans="1:30" x14ac:dyDescent="0.25">
      <c r="A333" s="200" t="s">
        <v>73</v>
      </c>
      <c r="B333" s="24" t="s">
        <v>1</v>
      </c>
      <c r="C333" s="24" t="s">
        <v>2</v>
      </c>
      <c r="D333" s="24" t="s">
        <v>3</v>
      </c>
      <c r="E333" s="24" t="s">
        <v>39</v>
      </c>
      <c r="F333" s="24" t="s">
        <v>45</v>
      </c>
      <c r="G333" s="24" t="s">
        <v>183</v>
      </c>
      <c r="H333" s="24" t="s">
        <v>184</v>
      </c>
      <c r="I333" s="24" t="s">
        <v>185</v>
      </c>
      <c r="J333" s="24" t="s">
        <v>186</v>
      </c>
      <c r="K333" s="24" t="s">
        <v>187</v>
      </c>
      <c r="L333" s="24"/>
      <c r="M333" s="24"/>
      <c r="Q333" s="195"/>
      <c r="S333" s="116"/>
      <c r="Y333" s="23"/>
    </row>
    <row r="334" spans="1:30" x14ac:dyDescent="0.25">
      <c r="A334" s="201" t="s">
        <v>69</v>
      </c>
      <c r="B334" s="312">
        <f>Minimum_Undergraduate_rate</f>
        <v>15</v>
      </c>
      <c r="C334" s="312">
        <f>+B334</f>
        <v>15</v>
      </c>
      <c r="D334" s="312">
        <f t="shared" ref="D334" si="553">+C334</f>
        <v>15</v>
      </c>
      <c r="E334" s="312">
        <f t="shared" ref="E334" si="554">+D334</f>
        <v>15</v>
      </c>
      <c r="F334" s="312">
        <f t="shared" ref="F334" si="555">+E334</f>
        <v>15</v>
      </c>
      <c r="G334" s="312">
        <f t="shared" ref="G334" si="556">+F334</f>
        <v>15</v>
      </c>
      <c r="H334" s="312">
        <f t="shared" ref="H334" si="557">+G334</f>
        <v>15</v>
      </c>
      <c r="I334" s="312">
        <f t="shared" ref="I334" si="558">+H334</f>
        <v>15</v>
      </c>
      <c r="J334" s="312">
        <f t="shared" ref="J334" si="559">+I334</f>
        <v>15</v>
      </c>
      <c r="K334" s="312">
        <f t="shared" ref="K334" si="560">+J334</f>
        <v>15</v>
      </c>
      <c r="L334" s="400"/>
      <c r="M334" s="400"/>
      <c r="Q334" s="195"/>
      <c r="Y334" s="23"/>
    </row>
    <row r="335" spans="1:30" x14ac:dyDescent="0.25">
      <c r="A335" s="201" t="s">
        <v>60</v>
      </c>
      <c r="B335" s="316">
        <v>0</v>
      </c>
      <c r="C335" s="316">
        <v>0</v>
      </c>
      <c r="D335" s="316">
        <v>0</v>
      </c>
      <c r="E335" s="316">
        <v>0</v>
      </c>
      <c r="F335" s="316">
        <v>0</v>
      </c>
      <c r="G335" s="316">
        <v>0</v>
      </c>
      <c r="H335" s="316">
        <v>0</v>
      </c>
      <c r="I335" s="316">
        <v>0</v>
      </c>
      <c r="J335" s="316">
        <v>0</v>
      </c>
      <c r="K335" s="316">
        <v>0</v>
      </c>
      <c r="L335" s="403"/>
      <c r="M335" s="403"/>
      <c r="Q335" s="195"/>
      <c r="R335" s="117"/>
      <c r="S335" s="53" t="str">
        <f>CONCATENATE("FY",$AD$3)</f>
        <v>FY2025</v>
      </c>
      <c r="T335" s="53" t="str">
        <f>CONCATENATE("FY",$AD$3+1)</f>
        <v>FY2026</v>
      </c>
      <c r="U335" s="53" t="str">
        <f>CONCATENATE("FY",$AD$3+2)</f>
        <v>FY2027</v>
      </c>
      <c r="V335" s="53" t="str">
        <f>CONCATENATE("FY",$AD$3+3)</f>
        <v>FY2028</v>
      </c>
      <c r="W335" s="53" t="str">
        <f>CONCATENATE("FY",$AD$3+4)</f>
        <v>FY2029</v>
      </c>
      <c r="X335" s="53" t="str">
        <f>CONCATENATE("FY",$AD$3+5)</f>
        <v>FY2030</v>
      </c>
      <c r="Y335" s="53" t="str">
        <f>CONCATENATE("FY",$AD$3+6)</f>
        <v>FY2031</v>
      </c>
      <c r="Z335" s="53" t="str">
        <f>CONCATENATE("FY",$AD$3+7)</f>
        <v>FY2032</v>
      </c>
      <c r="AA335" s="53" t="str">
        <f>CONCATENATE("FY",$AD$3+8)</f>
        <v>FY2033</v>
      </c>
      <c r="AB335" s="53" t="str">
        <f>CONCATENATE("FY",$AD$3+9)</f>
        <v>FY2034</v>
      </c>
    </row>
    <row r="336" spans="1:30" x14ac:dyDescent="0.25">
      <c r="A336" s="201" t="s">
        <v>61</v>
      </c>
      <c r="B336" s="316">
        <v>0</v>
      </c>
      <c r="C336" s="316">
        <v>0</v>
      </c>
      <c r="D336" s="316">
        <v>0</v>
      </c>
      <c r="E336" s="316">
        <v>0</v>
      </c>
      <c r="F336" s="316">
        <v>0</v>
      </c>
      <c r="G336" s="316">
        <v>0</v>
      </c>
      <c r="H336" s="316">
        <v>0</v>
      </c>
      <c r="I336" s="316">
        <v>0</v>
      </c>
      <c r="J336" s="316">
        <v>0</v>
      </c>
      <c r="K336" s="316">
        <v>0</v>
      </c>
      <c r="L336" s="403"/>
      <c r="M336" s="403"/>
      <c r="Q336" s="195"/>
      <c r="R336" s="118"/>
      <c r="S336" s="53" t="str">
        <f>IF(OR($AD$2&gt;=7,$AD$2&lt;=2),CONCATENATE("FY",$AD$3),IF(AND($AD$2&gt;=3,$AD$2&lt;=6),CONCATENATE("FY",$AD$3+1),"N/A"))</f>
        <v>FY2025</v>
      </c>
      <c r="T336" s="53" t="str">
        <f>IF(OR($AD$2&gt;=7,$AD$2&lt;=2),CONCATENATE("FY",$AD$3+1),IF(AND($AD$2&gt;=3,$AD$2&lt;=6),CONCATENATE("FY",$AD$3+2),"N/A"))</f>
        <v>FY2026</v>
      </c>
      <c r="U336" s="53" t="str">
        <f>IF(OR($AD$2&gt;=7,$AD$2&lt;=2),CONCATENATE("FY",$AD$3+2),IF(AND($AD$2&gt;=3,$AD$2&lt;=6),CONCATENATE("FY",$AD$3+3),"N/A"))</f>
        <v>FY2027</v>
      </c>
      <c r="V336" s="53" t="str">
        <f>IF(OR($AD$2&gt;=7,$AD$2&lt;=2),CONCATENATE("FY",$AD$3+3),IF(AND($AD$2&gt;=3,$AD$2&lt;=6),CONCATENATE("FY",$AD$3+4),"N/A"))</f>
        <v>FY2028</v>
      </c>
      <c r="W336" s="53" t="str">
        <f>IF(OR($AD$2&gt;=7,$AD$2&lt;=2),CONCATENATE("FY",$AD$3+4),IF(AND($AD$2&gt;=3,$AD$2&lt;=6),CONCATENATE("FY",$AD$3+5),"N/A"))</f>
        <v>FY2029</v>
      </c>
      <c r="X336" s="53" t="str">
        <f>IF(OR($AD$2&gt;=7,$AD$2&lt;=2),CONCATENATE("FY",$AD$3+5),IF(AND($AD$2&gt;=3,$AD$2&lt;=6),CONCATENATE("FY",$AD$3+6),"N/A"))</f>
        <v>FY2030</v>
      </c>
      <c r="Y336" s="53" t="str">
        <f>IF(OR($AD$2&gt;=7,$AD$2&lt;=2),CONCATENATE("FY",$AD$3+6),IF(AND($AD$2&gt;=3,$AD$2&lt;=6),CONCATENATE("FY",$AD$3+7),"N/A"))</f>
        <v>FY2031</v>
      </c>
      <c r="Z336" s="53" t="str">
        <f>IF(OR($AD$2&gt;=7,$AD$2&lt;=2),CONCATENATE("FY",$AD$3+7),IF(AND($AD$2&gt;=3,$AD$2&lt;=6),CONCATENATE("FY",$AD$3+8),"N/A"))</f>
        <v>FY2032</v>
      </c>
      <c r="AA336" s="53" t="str">
        <f>IF(OR($AD$2&gt;=7,$AD$2&lt;=2),CONCATENATE("FY",$AD$3+8),IF(AND($AD$2&gt;=3,$AD$2&lt;=6),CONCATENATE("FY",$AD$3+9),"N/A"))</f>
        <v>FY2033</v>
      </c>
      <c r="AB336" s="53" t="str">
        <f>IF(OR($AD$2&gt;=7,$AD$2&lt;=2),CONCATENATE("FY",$AD$3+9),IF(AND($AD$2&gt;=3,$AD$2&lt;=6),CONCATENATE("FY",$AD$3+10),"N/A"))</f>
        <v>FY2034</v>
      </c>
    </row>
    <row r="337" spans="1:28" x14ac:dyDescent="0.25">
      <c r="A337" s="201" t="s">
        <v>66</v>
      </c>
      <c r="B337" s="54">
        <f>ROUND(B334*(B335*B336),0)</f>
        <v>0</v>
      </c>
      <c r="C337" s="54">
        <f t="shared" ref="C337:F337" si="561">ROUND(C334*(C335*C336),0)</f>
        <v>0</v>
      </c>
      <c r="D337" s="54">
        <f t="shared" si="561"/>
        <v>0</v>
      </c>
      <c r="E337" s="54">
        <f t="shared" si="561"/>
        <v>0</v>
      </c>
      <c r="F337" s="54">
        <f t="shared" si="561"/>
        <v>0</v>
      </c>
      <c r="G337" s="54">
        <f t="shared" ref="G337:K337" si="562">ROUND(G334*(G335*G336),0)</f>
        <v>0</v>
      </c>
      <c r="H337" s="54">
        <f t="shared" si="562"/>
        <v>0</v>
      </c>
      <c r="I337" s="54">
        <f t="shared" si="562"/>
        <v>0</v>
      </c>
      <c r="J337" s="54">
        <f t="shared" si="562"/>
        <v>0</v>
      </c>
      <c r="K337" s="54">
        <f t="shared" si="562"/>
        <v>0</v>
      </c>
      <c r="L337" s="404"/>
      <c r="M337" s="404"/>
      <c r="Q337" s="195"/>
      <c r="R337" s="53"/>
      <c r="S337" s="53" t="str">
        <f>IF(AND($AD$2&gt;=1,$AD$2&lt;=6),CONCATENATE("FY",$AD$3+1),IF(AND($AD$2&gt;=7,$AD$2&lt;=9),CONCATENATE("FY",$AD$3),IF(AND($AD$2&gt;=10,$AD$2&lt;=126),CONCATENATE("FY",$AD$3+1),"N/A")))</f>
        <v>FY2026</v>
      </c>
      <c r="T337" s="53" t="str">
        <f>IF(AND($AD$2&gt;=1,$AD$2&lt;=6),CONCATENATE("FY",$AD$3+2),IF(AND($AD$2&gt;=7,$AD$2&lt;=9),CONCATENATE("FY",$AD$3+1),IF(AND($AD$2&gt;=10,$AD$2&lt;=126),CONCATENATE("FY",$AD$3+2),"N/A")))</f>
        <v>FY2027</v>
      </c>
      <c r="U337" s="53" t="str">
        <f>IF(AND($AD$2&gt;=1,$AD$2&lt;=6),CONCATENATE("FY",$AD$3+3),IF(AND($AD$2&gt;=7,$AD$2&lt;=9),CONCATENATE("FY",$AD$3+2),IF(AND($AD$2&gt;=10,$AD$2&lt;=126),CONCATENATE("FY",$AD$3+3),"N/A")))</f>
        <v>FY2028</v>
      </c>
      <c r="V337" s="53" t="str">
        <f>IF(AND($AD$2&gt;=1,$AD$2&lt;=6),CONCATENATE("FY",$AD$3+4),IF(AND($AD$2&gt;=7,$AD$2&lt;=9),CONCATENATE("FY",$AD$3+3),IF(AND($AD$2&gt;=10,$AD$2&lt;=126),CONCATENATE("FY",$AD$3+4),"N/A")))</f>
        <v>FY2029</v>
      </c>
      <c r="W337" s="53" t="str">
        <f>IF(AND($AD$2&gt;=1,$AD$2&lt;=6),CONCATENATE("FY",$AD$3+5),IF(AND($AD$2&gt;=7,$AD$2&lt;=9),CONCATENATE("FY",$AD$3+4),IF(AND($AD$2&gt;=10,$AD$2&lt;=126),CONCATENATE("FY",$AD$3+5),"N/A")))</f>
        <v>FY2030</v>
      </c>
      <c r="X337" s="53" t="str">
        <f>IF(AND($AD$2&gt;=1,$AD$2&lt;=6),CONCATENATE("FY",$AD$3+6),IF(AND($AD$2&gt;=7,$AD$2&lt;=9),CONCATENATE("FY",$AD$3+5),IF(AND($AD$2&gt;=10,$AD$2&lt;=126),CONCATENATE("FY",$AD$3+6),"N/A")))</f>
        <v>FY2031</v>
      </c>
      <c r="Y337" s="53" t="str">
        <f>IF(AND($AD$2&gt;=1,$AD$2&lt;=6),CONCATENATE("FY",$AD$3+6),IF(AND($AD$2&gt;=7,$AD$2&lt;=9),CONCATENATE("FY",$AD$3+6),IF(AND($AD$2&gt;=10,$AD$2&lt;=126),CONCATENATE("FY",$AD$3+7),"N/A")))</f>
        <v>FY2031</v>
      </c>
      <c r="Z337" s="53" t="str">
        <f>IF(AND($AD$2&gt;=1,$AD$2&lt;=6),CONCATENATE("FY",$AD$3+6),IF(AND($AD$2&gt;=7,$AD$2&lt;=9),CONCATENATE("FY",$AD$3+7),IF(AND($AD$2&gt;=10,$AD$2&lt;=126),CONCATENATE("FY",$AD$3+8),"N/A")))</f>
        <v>FY2031</v>
      </c>
      <c r="AA337" s="53" t="str">
        <f>IF(AND($AD$2&gt;=1,$AD$2&lt;=6),CONCATENATE("FY",$AD$3+6),IF(AND($AD$2&gt;=7,$AD$2&lt;=9),CONCATENATE("FY",$AD$3+8),IF(AND($AD$2&gt;=10,$AD$2&lt;=126),CONCATENATE("FY",$AD$3+9),"N/A")))</f>
        <v>FY2031</v>
      </c>
      <c r="AB337" s="53" t="str">
        <f>IF(AND($AD$2&gt;=1,$AD$2&lt;=6),CONCATENATE("FY",$AD$3+6),IF(AND($AD$2&gt;=7,$AD$2&lt;=9),CONCATENATE("FY",$AD$3+9),IF(AND($AD$2&gt;=10,$AD$2&lt;=126),CONCATENATE("FY",$AD$3+10),"N/A")))</f>
        <v>FY2031</v>
      </c>
    </row>
    <row r="338" spans="1:28" ht="15.75" thickBot="1" x14ac:dyDescent="0.3">
      <c r="A338" s="201" t="s">
        <v>58</v>
      </c>
      <c r="B338" s="316">
        <v>0</v>
      </c>
      <c r="C338" s="316">
        <v>0</v>
      </c>
      <c r="D338" s="316">
        <v>0</v>
      </c>
      <c r="E338" s="316">
        <v>0</v>
      </c>
      <c r="F338" s="316">
        <v>0</v>
      </c>
      <c r="G338" s="316">
        <v>0</v>
      </c>
      <c r="H338" s="316">
        <v>0</v>
      </c>
      <c r="I338" s="316">
        <v>0</v>
      </c>
      <c r="J338" s="316">
        <v>0</v>
      </c>
      <c r="K338" s="316">
        <v>0</v>
      </c>
      <c r="L338" s="403"/>
      <c r="M338" s="403"/>
      <c r="Q338" s="195"/>
      <c r="R338" s="422" t="s">
        <v>106</v>
      </c>
      <c r="S338" s="50" t="s">
        <v>1</v>
      </c>
      <c r="T338" s="51" t="s">
        <v>2</v>
      </c>
      <c r="U338" s="51" t="s">
        <v>3</v>
      </c>
      <c r="V338" s="51" t="s">
        <v>39</v>
      </c>
      <c r="W338" s="51" t="s">
        <v>45</v>
      </c>
      <c r="X338" s="51" t="s">
        <v>183</v>
      </c>
      <c r="Y338" s="51" t="s">
        <v>184</v>
      </c>
      <c r="Z338" s="51" t="s">
        <v>185</v>
      </c>
      <c r="AA338" s="51" t="s">
        <v>186</v>
      </c>
      <c r="AB338" s="51" t="s">
        <v>187</v>
      </c>
    </row>
    <row r="339" spans="1:28" x14ac:dyDescent="0.25">
      <c r="A339" s="201" t="s">
        <v>59</v>
      </c>
      <c r="B339" s="316">
        <v>0</v>
      </c>
      <c r="C339" s="316">
        <v>0</v>
      </c>
      <c r="D339" s="316">
        <v>0</v>
      </c>
      <c r="E339" s="316">
        <v>0</v>
      </c>
      <c r="F339" s="316">
        <v>0</v>
      </c>
      <c r="G339" s="316">
        <v>0</v>
      </c>
      <c r="H339" s="316">
        <v>0</v>
      </c>
      <c r="I339" s="316">
        <v>0</v>
      </c>
      <c r="J339" s="316">
        <v>0</v>
      </c>
      <c r="K339" s="316">
        <v>0</v>
      </c>
      <c r="L339" s="403"/>
      <c r="M339" s="403"/>
      <c r="Q339" s="195"/>
      <c r="R339" s="119" t="str">
        <f t="shared" ref="R339:R347" si="563">+R96</f>
        <v>Stipend (Spring)</v>
      </c>
      <c r="S339" s="120">
        <f t="shared" ref="S339:AB339" si="564">IF(RIGHT($R339,8)="(Summer)",ROUND(S323*HLOOKUP(S335,CoPI_3_GRARateTbl,3,FALSE),0))+IF(RIGHT($R339,8)&lt;&gt;"(Summer)",ROUND(S323*HLOOKUP(S335,CoPI_3_GRARateTbl,2,FALSE)/2,0))</f>
        <v>0</v>
      </c>
      <c r="T339" s="120">
        <f t="shared" si="564"/>
        <v>0</v>
      </c>
      <c r="U339" s="120">
        <f t="shared" si="564"/>
        <v>0</v>
      </c>
      <c r="V339" s="120">
        <f t="shared" si="564"/>
        <v>0</v>
      </c>
      <c r="W339" s="120">
        <f t="shared" si="564"/>
        <v>0</v>
      </c>
      <c r="X339" s="120">
        <f t="shared" si="564"/>
        <v>0</v>
      </c>
      <c r="Y339" s="120">
        <f t="shared" si="564"/>
        <v>0</v>
      </c>
      <c r="Z339" s="120">
        <f t="shared" si="564"/>
        <v>0</v>
      </c>
      <c r="AA339" s="120">
        <f t="shared" si="564"/>
        <v>0</v>
      </c>
      <c r="AB339" s="120">
        <f t="shared" si="564"/>
        <v>0</v>
      </c>
    </row>
    <row r="340" spans="1:28" x14ac:dyDescent="0.25">
      <c r="A340" s="201" t="s">
        <v>67</v>
      </c>
      <c r="B340" s="54">
        <f>ROUND(B334*(B338*B339),0)</f>
        <v>0</v>
      </c>
      <c r="C340" s="54">
        <f>ROUND(C334*(C338*C339),0)</f>
        <v>0</v>
      </c>
      <c r="D340" s="54">
        <f>ROUND(D334*(D338*D339),0)</f>
        <v>0</v>
      </c>
      <c r="E340" s="54">
        <f>ROUND(E334*(E338*E339),0)</f>
        <v>0</v>
      </c>
      <c r="F340" s="54">
        <f>ROUND(F334*(F338*F339),0)</f>
        <v>0</v>
      </c>
      <c r="G340" s="54">
        <f t="shared" ref="G340:K340" si="565">ROUND(G334*(G338*G339),0)</f>
        <v>0</v>
      </c>
      <c r="H340" s="54">
        <f t="shared" si="565"/>
        <v>0</v>
      </c>
      <c r="I340" s="54">
        <f t="shared" si="565"/>
        <v>0</v>
      </c>
      <c r="J340" s="54">
        <f t="shared" si="565"/>
        <v>0</v>
      </c>
      <c r="K340" s="54">
        <f t="shared" si="565"/>
        <v>0</v>
      </c>
      <c r="L340" s="404"/>
      <c r="M340" s="404"/>
      <c r="Q340" s="195"/>
      <c r="R340" s="121" t="str">
        <f t="shared" si="563"/>
        <v>Stipend (Summer)</v>
      </c>
      <c r="S340" s="120">
        <f t="shared" ref="S340:AB340" si="566">IF(RIGHT($R340,8)="(Summer)",ROUND(S324*HLOOKUP(S336,CoPI_3_GRARateTbl,3,FALSE),0))+IF(RIGHT($R340,8)&lt;&gt;"(Summer)",ROUND(S324*HLOOKUP(S336,CoPI_3_GRARateTbl,2,FALSE)/2,0))</f>
        <v>0</v>
      </c>
      <c r="T340" s="120">
        <f t="shared" si="566"/>
        <v>0</v>
      </c>
      <c r="U340" s="120">
        <f t="shared" si="566"/>
        <v>0</v>
      </c>
      <c r="V340" s="120">
        <f t="shared" si="566"/>
        <v>0</v>
      </c>
      <c r="W340" s="120">
        <f t="shared" si="566"/>
        <v>0</v>
      </c>
      <c r="X340" s="120">
        <f t="shared" si="566"/>
        <v>0</v>
      </c>
      <c r="Y340" s="120">
        <f t="shared" si="566"/>
        <v>0</v>
      </c>
      <c r="Z340" s="120">
        <f t="shared" si="566"/>
        <v>0</v>
      </c>
      <c r="AA340" s="120">
        <f t="shared" si="566"/>
        <v>0</v>
      </c>
      <c r="AB340" s="120">
        <f t="shared" si="566"/>
        <v>0</v>
      </c>
    </row>
    <row r="341" spans="1:28" x14ac:dyDescent="0.25">
      <c r="A341" s="201" t="s">
        <v>21</v>
      </c>
      <c r="B341" s="110">
        <f>+B337+B340</f>
        <v>0</v>
      </c>
      <c r="C341" s="110">
        <f>+C337+C340</f>
        <v>0</v>
      </c>
      <c r="D341" s="110">
        <f>+D337+D340</f>
        <v>0</v>
      </c>
      <c r="E341" s="110">
        <f>+E337+E340</f>
        <v>0</v>
      </c>
      <c r="F341" s="110">
        <f>+F337+F340</f>
        <v>0</v>
      </c>
      <c r="G341" s="110">
        <f t="shared" ref="G341:K341" si="567">+G337+G340</f>
        <v>0</v>
      </c>
      <c r="H341" s="110">
        <f t="shared" si="567"/>
        <v>0</v>
      </c>
      <c r="I341" s="110">
        <f t="shared" si="567"/>
        <v>0</v>
      </c>
      <c r="J341" s="110">
        <f t="shared" si="567"/>
        <v>0</v>
      </c>
      <c r="K341" s="110">
        <f t="shared" si="567"/>
        <v>0</v>
      </c>
      <c r="L341" s="402"/>
      <c r="M341" s="402"/>
      <c r="Q341" s="195"/>
      <c r="R341" s="121" t="str">
        <f t="shared" si="563"/>
        <v>Stipend (Fall)</v>
      </c>
      <c r="S341" s="120">
        <f t="shared" ref="S341:AB341" si="568">IF(RIGHT($R341,8)="(Summer)",ROUND(S325*HLOOKUP(S337,CoPI_3_GRARateTbl,3,FALSE),0))+IF(RIGHT($R341,8)&lt;&gt;"(Summer)",ROUND(S325*HLOOKUP(S337,CoPI_3_GRARateTbl,2,FALSE)/2,0))</f>
        <v>0</v>
      </c>
      <c r="T341" s="120">
        <f t="shared" si="568"/>
        <v>0</v>
      </c>
      <c r="U341" s="120">
        <f t="shared" si="568"/>
        <v>0</v>
      </c>
      <c r="V341" s="120">
        <f t="shared" si="568"/>
        <v>0</v>
      </c>
      <c r="W341" s="120">
        <f t="shared" si="568"/>
        <v>0</v>
      </c>
      <c r="X341" s="120">
        <f t="shared" si="568"/>
        <v>0</v>
      </c>
      <c r="Y341" s="120">
        <f t="shared" si="568"/>
        <v>0</v>
      </c>
      <c r="Z341" s="120">
        <f t="shared" si="568"/>
        <v>0</v>
      </c>
      <c r="AA341" s="120">
        <f t="shared" si="568"/>
        <v>0</v>
      </c>
      <c r="AB341" s="120">
        <f t="shared" si="568"/>
        <v>0</v>
      </c>
    </row>
    <row r="342" spans="1:28" x14ac:dyDescent="0.25">
      <c r="A342" s="195"/>
      <c r="I342" s="23"/>
      <c r="J342" s="23"/>
      <c r="K342" s="23"/>
      <c r="L342" s="23"/>
      <c r="M342" s="23"/>
      <c r="N342" s="23"/>
      <c r="Q342" s="195"/>
      <c r="R342" s="121" t="str">
        <f t="shared" si="563"/>
        <v>Tuition (Spring)</v>
      </c>
      <c r="S342" s="120">
        <f t="shared" ref="S342:AB342" si="569">IF(RIGHT($R342,8)="(Summer)",0,ROUND(S323*HLOOKUP(S335,CoPI_3_GRARateTbl,5,FALSE)/2,0))</f>
        <v>0</v>
      </c>
      <c r="T342" s="120">
        <f t="shared" si="569"/>
        <v>0</v>
      </c>
      <c r="U342" s="120">
        <f t="shared" si="569"/>
        <v>0</v>
      </c>
      <c r="V342" s="120">
        <f t="shared" si="569"/>
        <v>0</v>
      </c>
      <c r="W342" s="120">
        <f t="shared" si="569"/>
        <v>0</v>
      </c>
      <c r="X342" s="120">
        <f t="shared" si="569"/>
        <v>0</v>
      </c>
      <c r="Y342" s="120">
        <f t="shared" si="569"/>
        <v>0</v>
      </c>
      <c r="Z342" s="120">
        <f t="shared" si="569"/>
        <v>0</v>
      </c>
      <c r="AA342" s="120">
        <f t="shared" si="569"/>
        <v>0</v>
      </c>
      <c r="AB342" s="120">
        <f t="shared" si="569"/>
        <v>0</v>
      </c>
    </row>
    <row r="343" spans="1:28" x14ac:dyDescent="0.25">
      <c r="A343" s="203" t="s">
        <v>88</v>
      </c>
      <c r="B343" s="104" t="str">
        <f t="shared" ref="B343:L343" si="570">IF(AND(B344=$AE$5,$O345=9),$AE$3,IF(AND(B344=$AF$5,$O345=9),$AF$3,IF(AND(B344=$AG$5,$O345=9),$AG$3,IF(AND(B344=$AH$5,$O345=9),$AH$3,IF(AND(B344=$AI$5,$O345=9),$AI$3,IF(AND(B344=$AJ$5,$O345=9),$AJ$3,IF(AND(B344=$AK$5,$O345=9),$AK$3,IF(AND(B344=$AL$5,$O345=9),$AL$3,IF(AND(B344=$AM$5,$O345=9),$AM$3,IF(AND(B344=$AN$5,$O345=9),$AN$3,IF(AND(B344=$AO$5,$O345=9),$AO$3,IF(AND(B344=$AP$5,$O345=9),$AJ$3,IF(AND(B344=$AE$4,$O345=12),$AE$3,IF(AND(B344=$AF$4,$O345=12),$AF$3,IF(AND(B344=$AG$4,$O345=12),$AG$3,IF(AND(B344=$AH$4,$O345=12),$AH$3,IF(AND(B344=$AI$4,$O345=12),$AI$3,IF(AND(B344=$AJ$4,$O345=12),$AJ$3,IF(AND(B344=$AK$4,$O345=12),$AK$3,IF(AND(B344=$AL$4,$O345=12),$AL$3,IF(AND(B344=$AM$4,$O345=12),$AM$3,IF(AND(B344=$AN$4,$O345=12),$AN$3,IF(AND(B344=$AO$4,$O345=12),$AO$3,IF(AND(B344=$AP$4,$O345=12),$AJ$3," "))))))))))))))))))))))))</f>
        <v>Year 1</v>
      </c>
      <c r="C343" s="104" t="str">
        <f t="shared" si="570"/>
        <v>Year 2</v>
      </c>
      <c r="D343" s="104" t="str">
        <f t="shared" si="570"/>
        <v>Year 3</v>
      </c>
      <c r="E343" s="104" t="str">
        <f t="shared" si="570"/>
        <v>Year 4</v>
      </c>
      <c r="F343" s="104" t="str">
        <f t="shared" si="570"/>
        <v>Year 5</v>
      </c>
      <c r="G343" s="104" t="str">
        <f t="shared" si="570"/>
        <v>Year 6</v>
      </c>
      <c r="H343" s="104" t="str">
        <f t="shared" si="570"/>
        <v>Year 7</v>
      </c>
      <c r="I343" s="104" t="str">
        <f t="shared" si="570"/>
        <v>Year 8</v>
      </c>
      <c r="J343" s="104" t="str">
        <f t="shared" si="570"/>
        <v>Year 9</v>
      </c>
      <c r="K343" s="104" t="str">
        <f t="shared" si="570"/>
        <v>Year 10</v>
      </c>
      <c r="L343" s="104" t="str">
        <f t="shared" si="570"/>
        <v>Year 11</v>
      </c>
      <c r="M343" s="104" t="str">
        <f t="shared" ref="M343" si="571">IF(AND(M344=$AE$5,$O345=9),$AE$3,IF(AND(M344=$AF$5,$O345=9),$AF$3,IF(AND(M344=$AG$5,$O345=9),$AG$3,IF(AND(M344=$AH$5,$O345=9),$AH$3,IF(AND(M344=$AI$5,$O345=9),$AI$3,IF(AND(M344=$AJ$5,$O345=9),$AJ$3,IF(AND(M344=$AK$5,$O345=9),$AK$3,IF(AND(M344=$AL$5,$O345=9),$AL$3,IF(AND(M344=$AM$5,$O345=9),$AM$3,IF(AND(M344=$AN$5,$O345=9),$AN$3,IF(AND(M344=$AO$5,$O345=9),$AO$3,IF(AND(M344=$AP$5,$O345=9),$AJ$3,IF(AND(M344=$AE$4,$O345=12),$AE$3,IF(AND(M344=$AF$4,$O345=12),$AF$3,IF(AND(M344=$AG$4,$O345=12),$AG$3,IF(AND(M344=$AH$4,$O345=12),$AH$3,IF(AND(M344=$AI$4,$O345=12),$AI$3,IF(AND(M344=$AJ$4,$O345=12),$AJ$3,IF(AND(M344=$AK$4,$O345=12),$AK$3,IF(AND(M344=$AL$4,$O345=12),$AL$3,IF(AND(M344=$AM$4,$O345=12),$AM$3,IF(AND(M344=$AN$4,$O345=12),$AN$3,IF(AND(M344=$AO$4,$O345=12),$AO$3,IF(AND(M344=$AP$4,$O345=12),$AJ$3," "))))))))))))))))))))))))</f>
        <v>Year 6</v>
      </c>
      <c r="N343" s="104"/>
      <c r="Q343" s="195"/>
      <c r="R343" s="121" t="str">
        <f t="shared" si="563"/>
        <v>Tuition (Summer)</v>
      </c>
      <c r="S343" s="120">
        <f t="shared" ref="S343:AB343" si="572">IF(RIGHT($R343,8)="(Summer)",0,ROUND(S324*HLOOKUP(S336,CoPI_3_GRARateTbl,5,FALSE)/2,0))</f>
        <v>0</v>
      </c>
      <c r="T343" s="120">
        <f t="shared" si="572"/>
        <v>0</v>
      </c>
      <c r="U343" s="120">
        <f t="shared" si="572"/>
        <v>0</v>
      </c>
      <c r="V343" s="120">
        <f t="shared" si="572"/>
        <v>0</v>
      </c>
      <c r="W343" s="120">
        <f t="shared" si="572"/>
        <v>0</v>
      </c>
      <c r="X343" s="120">
        <f t="shared" si="572"/>
        <v>0</v>
      </c>
      <c r="Y343" s="120">
        <f t="shared" si="572"/>
        <v>0</v>
      </c>
      <c r="Z343" s="120">
        <f t="shared" si="572"/>
        <v>0</v>
      </c>
      <c r="AA343" s="120">
        <f t="shared" si="572"/>
        <v>0</v>
      </c>
      <c r="AB343" s="120">
        <f t="shared" si="572"/>
        <v>0</v>
      </c>
    </row>
    <row r="344" spans="1:28" x14ac:dyDescent="0.25">
      <c r="A344" s="200" t="s">
        <v>29</v>
      </c>
      <c r="B344" s="55" t="str">
        <f t="shared" ref="B344:I344" si="573">+N$2</f>
        <v>FY2025</v>
      </c>
      <c r="C344" s="55" t="str">
        <f t="shared" si="573"/>
        <v>FY2026</v>
      </c>
      <c r="D344" s="55" t="str">
        <f t="shared" si="573"/>
        <v>FY2027</v>
      </c>
      <c r="E344" s="55" t="str">
        <f t="shared" si="573"/>
        <v>FY2028</v>
      </c>
      <c r="F344" s="55" t="str">
        <f t="shared" si="573"/>
        <v>FY2029</v>
      </c>
      <c r="G344" s="55" t="str">
        <f t="shared" si="573"/>
        <v>FY2030</v>
      </c>
      <c r="H344" s="55" t="str">
        <f t="shared" si="573"/>
        <v>FY2031</v>
      </c>
      <c r="I344" s="55" t="str">
        <f t="shared" si="573"/>
        <v>FY2032</v>
      </c>
      <c r="J344" s="55" t="str">
        <f t="shared" ref="J344" si="574">+V$2</f>
        <v>FY2033</v>
      </c>
      <c r="K344" s="55" t="str">
        <f t="shared" ref="K344:M344" si="575">+W$2</f>
        <v>FY2034</v>
      </c>
      <c r="L344" s="55" t="str">
        <f t="shared" si="575"/>
        <v>FY2035</v>
      </c>
      <c r="M344" s="55" t="str">
        <f t="shared" si="575"/>
        <v>FY2036</v>
      </c>
      <c r="N344" s="55"/>
      <c r="O344" s="32" t="s">
        <v>20</v>
      </c>
      <c r="P344" s="89"/>
      <c r="Q344" s="204"/>
      <c r="R344" s="121" t="str">
        <f t="shared" si="563"/>
        <v>Tuition (Fall)</v>
      </c>
      <c r="S344" s="120">
        <f t="shared" ref="S344:AB344" si="576">IF(RIGHT($R344,8)="(Summer)",0,ROUND(S325*HLOOKUP(S337,CoPI_3_GRARateTbl,5,FALSE)/2,0))</f>
        <v>0</v>
      </c>
      <c r="T344" s="120">
        <f t="shared" si="576"/>
        <v>0</v>
      </c>
      <c r="U344" s="120">
        <f t="shared" si="576"/>
        <v>0</v>
      </c>
      <c r="V344" s="120">
        <f t="shared" si="576"/>
        <v>0</v>
      </c>
      <c r="W344" s="120">
        <f t="shared" si="576"/>
        <v>0</v>
      </c>
      <c r="X344" s="120">
        <f t="shared" si="576"/>
        <v>0</v>
      </c>
      <c r="Y344" s="120">
        <f t="shared" si="576"/>
        <v>0</v>
      </c>
      <c r="Z344" s="120">
        <f t="shared" si="576"/>
        <v>0</v>
      </c>
      <c r="AA344" s="120">
        <f t="shared" si="576"/>
        <v>0</v>
      </c>
      <c r="AB344" s="120">
        <f t="shared" si="576"/>
        <v>0</v>
      </c>
    </row>
    <row r="345" spans="1:28" x14ac:dyDescent="0.25">
      <c r="A345" s="201" t="str">
        <f>CONCATENATE("Base Salary: ",O345," month term")</f>
        <v>Base Salary: 12 month term</v>
      </c>
      <c r="B345" s="313">
        <v>0</v>
      </c>
      <c r="C345" s="440">
        <f t="shared" ref="C345:M345" si="577">ROUND(+B345*(1+(HLOOKUP(C344,FringeAndIDCRates,11,FALSE))),0)</f>
        <v>0</v>
      </c>
      <c r="D345" s="440">
        <f t="shared" si="577"/>
        <v>0</v>
      </c>
      <c r="E345" s="440">
        <f t="shared" si="577"/>
        <v>0</v>
      </c>
      <c r="F345" s="440">
        <f t="shared" si="577"/>
        <v>0</v>
      </c>
      <c r="G345" s="440">
        <f t="shared" si="577"/>
        <v>0</v>
      </c>
      <c r="H345" s="440">
        <f t="shared" si="577"/>
        <v>0</v>
      </c>
      <c r="I345" s="440">
        <f t="shared" si="577"/>
        <v>0</v>
      </c>
      <c r="J345" s="440">
        <f t="shared" si="577"/>
        <v>0</v>
      </c>
      <c r="K345" s="440">
        <f t="shared" si="577"/>
        <v>0</v>
      </c>
      <c r="L345" s="440">
        <f t="shared" si="577"/>
        <v>0</v>
      </c>
      <c r="M345" s="440">
        <f t="shared" si="577"/>
        <v>0</v>
      </c>
      <c r="N345" s="109"/>
      <c r="O345" s="310">
        <v>12</v>
      </c>
      <c r="P345" s="311"/>
      <c r="Q345" s="206"/>
      <c r="R345" s="121" t="str">
        <f t="shared" si="563"/>
        <v>Health Insurance (Spring)</v>
      </c>
      <c r="S345" s="120">
        <f t="shared" ref="S345:AB345" si="578">IF(RIGHT($R345,8)="(Summer)",0,ROUND(S323*HLOOKUP(S335,CoPI_3_GRARateTbl,6,FALSE)/2,0))</f>
        <v>0</v>
      </c>
      <c r="T345" s="120">
        <f t="shared" si="578"/>
        <v>0</v>
      </c>
      <c r="U345" s="120">
        <f t="shared" si="578"/>
        <v>0</v>
      </c>
      <c r="V345" s="120">
        <f t="shared" si="578"/>
        <v>0</v>
      </c>
      <c r="W345" s="120">
        <f t="shared" si="578"/>
        <v>0</v>
      </c>
      <c r="X345" s="120">
        <f t="shared" si="578"/>
        <v>0</v>
      </c>
      <c r="Y345" s="120">
        <f t="shared" si="578"/>
        <v>0</v>
      </c>
      <c r="Z345" s="120">
        <f t="shared" si="578"/>
        <v>0</v>
      </c>
      <c r="AA345" s="120">
        <f t="shared" si="578"/>
        <v>0</v>
      </c>
      <c r="AB345" s="120">
        <f t="shared" si="578"/>
        <v>0</v>
      </c>
    </row>
    <row r="346" spans="1:28" x14ac:dyDescent="0.25">
      <c r="A346" s="201" t="s">
        <v>44</v>
      </c>
      <c r="B346" s="312">
        <v>0</v>
      </c>
      <c r="C346" s="312">
        <v>0</v>
      </c>
      <c r="D346" s="312">
        <v>0</v>
      </c>
      <c r="E346" s="312">
        <v>0</v>
      </c>
      <c r="F346" s="312">
        <v>0</v>
      </c>
      <c r="G346" s="312">
        <v>0</v>
      </c>
      <c r="H346" s="312">
        <v>0</v>
      </c>
      <c r="I346" s="312">
        <v>0</v>
      </c>
      <c r="J346" s="312">
        <v>0</v>
      </c>
      <c r="K346" s="312">
        <v>0</v>
      </c>
      <c r="L346" s="312">
        <v>0</v>
      </c>
      <c r="M346" s="312">
        <v>0</v>
      </c>
      <c r="N346" s="400"/>
      <c r="O346" s="25"/>
      <c r="P346" s="25"/>
      <c r="Q346" s="201"/>
      <c r="R346" s="121" t="str">
        <f t="shared" si="563"/>
        <v>Health Insurance (Summer)</v>
      </c>
      <c r="S346" s="120">
        <f t="shared" ref="S346:AB346" si="579">IF(RIGHT($R346,8)="(Summer)",0,ROUND(S324*HLOOKUP(S336,CoPI_3_GRARateTbl,6,FALSE)/2,0))</f>
        <v>0</v>
      </c>
      <c r="T346" s="120">
        <f t="shared" si="579"/>
        <v>0</v>
      </c>
      <c r="U346" s="120">
        <f t="shared" si="579"/>
        <v>0</v>
      </c>
      <c r="V346" s="120">
        <f t="shared" si="579"/>
        <v>0</v>
      </c>
      <c r="W346" s="120">
        <f t="shared" si="579"/>
        <v>0</v>
      </c>
      <c r="X346" s="120">
        <f t="shared" si="579"/>
        <v>0</v>
      </c>
      <c r="Y346" s="120">
        <f t="shared" si="579"/>
        <v>0</v>
      </c>
      <c r="Z346" s="120">
        <f t="shared" si="579"/>
        <v>0</v>
      </c>
      <c r="AA346" s="120">
        <f t="shared" si="579"/>
        <v>0</v>
      </c>
      <c r="AB346" s="120">
        <f t="shared" si="579"/>
        <v>0</v>
      </c>
    </row>
    <row r="347" spans="1:28" x14ac:dyDescent="0.25">
      <c r="A347" s="201" t="str">
        <f>CONCATENATE("FTE for ",O345," Months")</f>
        <v>FTE for 12 Months</v>
      </c>
      <c r="B347" s="393">
        <f t="shared" ref="B347:L347" si="580">+B346/$O345</f>
        <v>0</v>
      </c>
      <c r="C347" s="393">
        <f t="shared" si="580"/>
        <v>0</v>
      </c>
      <c r="D347" s="393">
        <f t="shared" si="580"/>
        <v>0</v>
      </c>
      <c r="E347" s="393">
        <f t="shared" si="580"/>
        <v>0</v>
      </c>
      <c r="F347" s="393">
        <f t="shared" si="580"/>
        <v>0</v>
      </c>
      <c r="G347" s="393">
        <f t="shared" si="580"/>
        <v>0</v>
      </c>
      <c r="H347" s="393">
        <f t="shared" si="580"/>
        <v>0</v>
      </c>
      <c r="I347" s="393">
        <f t="shared" si="580"/>
        <v>0</v>
      </c>
      <c r="J347" s="393">
        <f t="shared" si="580"/>
        <v>0</v>
      </c>
      <c r="K347" s="393">
        <f t="shared" si="580"/>
        <v>0</v>
      </c>
      <c r="L347" s="393">
        <f t="shared" si="580"/>
        <v>0</v>
      </c>
      <c r="M347" s="393">
        <f t="shared" ref="M347" si="581">+M346/$O345</f>
        <v>0</v>
      </c>
      <c r="N347" s="401"/>
      <c r="O347" s="89"/>
      <c r="P347" s="89"/>
      <c r="Q347" s="204"/>
      <c r="R347" s="121" t="str">
        <f t="shared" si="563"/>
        <v>Health Insurance (Fall)</v>
      </c>
      <c r="S347" s="120">
        <f t="shared" ref="S347:AB347" si="582">IF(RIGHT($R347,8)="(Summer)",0,ROUND(S325*HLOOKUP(S337,CoPI_3_GRARateTbl,6,FALSE)/2,0))</f>
        <v>0</v>
      </c>
      <c r="T347" s="120">
        <f t="shared" si="582"/>
        <v>0</v>
      </c>
      <c r="U347" s="120">
        <f t="shared" si="582"/>
        <v>0</v>
      </c>
      <c r="V347" s="120">
        <f t="shared" si="582"/>
        <v>0</v>
      </c>
      <c r="W347" s="120">
        <f t="shared" si="582"/>
        <v>0</v>
      </c>
      <c r="X347" s="120">
        <f t="shared" si="582"/>
        <v>0</v>
      </c>
      <c r="Y347" s="120">
        <f t="shared" si="582"/>
        <v>0</v>
      </c>
      <c r="Z347" s="120">
        <f t="shared" si="582"/>
        <v>0</v>
      </c>
      <c r="AA347" s="120">
        <f t="shared" si="582"/>
        <v>0</v>
      </c>
      <c r="AB347" s="120">
        <f t="shared" si="582"/>
        <v>0</v>
      </c>
    </row>
    <row r="348" spans="1:28" ht="15.75" thickBot="1" x14ac:dyDescent="0.3">
      <c r="A348" s="201" t="s">
        <v>21</v>
      </c>
      <c r="B348" s="110">
        <f t="shared" ref="B348:K348" si="583">ROUND((B345*B347*$Q$41)+(C345*B347*$Q$42),0)</f>
        <v>0</v>
      </c>
      <c r="C348" s="110">
        <f t="shared" si="583"/>
        <v>0</v>
      </c>
      <c r="D348" s="110">
        <f t="shared" si="583"/>
        <v>0</v>
      </c>
      <c r="E348" s="110">
        <f t="shared" si="583"/>
        <v>0</v>
      </c>
      <c r="F348" s="110">
        <f t="shared" si="583"/>
        <v>0</v>
      </c>
      <c r="G348" s="110">
        <f t="shared" si="583"/>
        <v>0</v>
      </c>
      <c r="H348" s="110">
        <f t="shared" si="583"/>
        <v>0</v>
      </c>
      <c r="I348" s="110">
        <f t="shared" si="583"/>
        <v>0</v>
      </c>
      <c r="J348" s="110">
        <f t="shared" si="583"/>
        <v>0</v>
      </c>
      <c r="K348" s="110">
        <f t="shared" si="583"/>
        <v>0</v>
      </c>
      <c r="L348" s="110">
        <f>ROUND((L345*L347*$Q$41)+(N345*L347*$Q$42),0)</f>
        <v>0</v>
      </c>
      <c r="M348" s="110">
        <f>ROUND((M345*M347*$Q$41)+(O345*M347*$Q$42),0)</f>
        <v>0</v>
      </c>
      <c r="N348" s="402"/>
      <c r="O348" s="89"/>
      <c r="P348" s="89"/>
      <c r="Q348" s="204"/>
      <c r="R348" s="38" t="s">
        <v>31</v>
      </c>
      <c r="S348" s="39">
        <f>SUM(S339:S347)</f>
        <v>0</v>
      </c>
      <c r="T348" s="39">
        <f>SUM(T339:T347)</f>
        <v>0</v>
      </c>
      <c r="U348" s="39">
        <f>SUM(U339:U347)</f>
        <v>0</v>
      </c>
      <c r="V348" s="39">
        <f>SUM(V339:V347)</f>
        <v>0</v>
      </c>
      <c r="W348" s="39">
        <f t="shared" ref="W348" si="584">SUM(W339:W347)</f>
        <v>0</v>
      </c>
      <c r="X348" s="39">
        <f t="shared" ref="X348" si="585">SUM(X339:X347)</f>
        <v>0</v>
      </c>
      <c r="Y348" s="39">
        <f t="shared" ref="Y348" si="586">SUM(Y339:Y347)</f>
        <v>0</v>
      </c>
      <c r="Z348" s="39">
        <f t="shared" ref="Z348" si="587">SUM(Z339:Z347)</f>
        <v>0</v>
      </c>
      <c r="AA348" s="39">
        <f t="shared" ref="AA348" si="588">SUM(AA339:AA347)</f>
        <v>0</v>
      </c>
      <c r="AB348" s="39">
        <f t="shared" ref="AB348" si="589">SUM(AB339:AB347)</f>
        <v>0</v>
      </c>
    </row>
    <row r="349" spans="1:28" x14ac:dyDescent="0.25">
      <c r="Q349" s="204"/>
      <c r="R349" s="228"/>
      <c r="S349" s="229"/>
      <c r="T349" s="229"/>
      <c r="U349" s="229"/>
      <c r="V349" s="229"/>
      <c r="W349" s="229"/>
      <c r="X349" s="229"/>
      <c r="Y349" s="229"/>
      <c r="Z349" s="229"/>
      <c r="AA349" s="229"/>
      <c r="AB349" s="229"/>
    </row>
    <row r="351" spans="1:28" x14ac:dyDescent="0.25">
      <c r="A351" s="193" t="str">
        <f ca="1">+A18</f>
        <v>Co-PI Budget (4)</v>
      </c>
      <c r="B351" s="164"/>
      <c r="C351" s="164"/>
      <c r="D351" s="164"/>
      <c r="E351" s="164"/>
      <c r="F351" s="164"/>
      <c r="G351" s="164"/>
      <c r="H351" s="164"/>
      <c r="I351" s="164"/>
      <c r="J351" s="164"/>
      <c r="K351" s="164"/>
      <c r="L351" s="164"/>
      <c r="M351" s="164"/>
      <c r="N351" s="164"/>
      <c r="O351" s="164"/>
    </row>
    <row r="352" spans="1:28" x14ac:dyDescent="0.25">
      <c r="A352" s="138" t="s">
        <v>50</v>
      </c>
      <c r="B352" s="211" t="str">
        <f>+B18</f>
        <v>Co-PI</v>
      </c>
      <c r="C352" s="164"/>
      <c r="D352" s="164"/>
      <c r="E352" s="164"/>
      <c r="F352" s="164"/>
      <c r="G352" s="164"/>
      <c r="H352" s="164"/>
      <c r="I352" s="164"/>
      <c r="J352" s="164"/>
      <c r="K352" s="164"/>
      <c r="L352" s="164"/>
      <c r="M352" s="164"/>
      <c r="N352" s="164"/>
      <c r="O352" s="164"/>
    </row>
    <row r="353" spans="1:17" x14ac:dyDescent="0.25">
      <c r="A353" s="138" t="s">
        <v>53</v>
      </c>
      <c r="B353" s="331" t="s">
        <v>57</v>
      </c>
      <c r="C353" s="164"/>
      <c r="D353" s="164"/>
      <c r="E353" s="164"/>
      <c r="F353" s="164"/>
      <c r="G353" s="164"/>
      <c r="H353" s="164"/>
      <c r="I353" s="164"/>
      <c r="J353" s="164"/>
      <c r="K353" s="164"/>
      <c r="L353" s="164"/>
      <c r="M353" s="164"/>
      <c r="N353" s="164"/>
      <c r="O353" s="164"/>
    </row>
    <row r="354" spans="1:17" x14ac:dyDescent="0.25">
      <c r="A354" s="138" t="s">
        <v>53</v>
      </c>
      <c r="B354" s="331" t="s">
        <v>57</v>
      </c>
      <c r="C354" s="164"/>
      <c r="D354" s="164"/>
      <c r="E354" s="164"/>
      <c r="F354" s="164"/>
      <c r="G354" s="164"/>
      <c r="H354" s="164"/>
      <c r="I354" s="164"/>
      <c r="J354" s="164"/>
      <c r="K354" s="164"/>
      <c r="L354" s="164"/>
      <c r="M354" s="164"/>
      <c r="N354" s="164"/>
      <c r="O354" s="164"/>
    </row>
    <row r="355" spans="1:17" x14ac:dyDescent="0.25">
      <c r="A355" s="138" t="s">
        <v>113</v>
      </c>
      <c r="B355" s="332" t="s">
        <v>95</v>
      </c>
      <c r="C355" s="164"/>
      <c r="D355" s="164"/>
      <c r="E355" s="164"/>
      <c r="F355" s="164"/>
      <c r="G355" s="164"/>
      <c r="H355" s="164"/>
      <c r="I355" s="164"/>
      <c r="J355" s="164"/>
      <c r="K355" s="164"/>
      <c r="L355" s="164"/>
      <c r="M355" s="164"/>
      <c r="N355" s="164"/>
      <c r="O355" s="164"/>
    </row>
    <row r="356" spans="1:17" x14ac:dyDescent="0.25">
      <c r="A356" s="138" t="s">
        <v>134</v>
      </c>
      <c r="B356" s="332" t="str">
        <f>+$B$32</f>
        <v>On</v>
      </c>
      <c r="C356" s="164"/>
      <c r="D356" s="164"/>
      <c r="E356" s="164"/>
      <c r="F356" s="164"/>
      <c r="G356" s="164"/>
      <c r="H356" s="164"/>
      <c r="I356" s="164"/>
      <c r="J356" s="164"/>
      <c r="K356" s="164"/>
      <c r="L356" s="164"/>
      <c r="M356" s="164"/>
      <c r="N356" s="164"/>
      <c r="O356" s="164"/>
    </row>
    <row r="357" spans="1:17" x14ac:dyDescent="0.25">
      <c r="A357" s="164"/>
      <c r="B357" s="164"/>
      <c r="C357" s="164"/>
      <c r="D357" s="164"/>
      <c r="E357" s="164"/>
      <c r="F357" s="164"/>
      <c r="G357" s="164"/>
      <c r="H357" s="164"/>
      <c r="I357" s="164"/>
      <c r="J357" s="164"/>
      <c r="K357" s="164"/>
      <c r="L357" s="164"/>
      <c r="M357" s="164"/>
      <c r="N357" s="164"/>
      <c r="O357" s="164"/>
    </row>
    <row r="358" spans="1:17" x14ac:dyDescent="0.25">
      <c r="A358" s="138" t="s">
        <v>97</v>
      </c>
      <c r="B358" s="333" t="s">
        <v>95</v>
      </c>
      <c r="C358" s="164"/>
      <c r="D358" s="164"/>
      <c r="E358" s="164"/>
      <c r="F358" s="164"/>
      <c r="G358" s="164"/>
      <c r="H358" s="164"/>
      <c r="I358" s="164"/>
      <c r="J358" s="164"/>
      <c r="K358" s="164"/>
      <c r="L358" s="164"/>
      <c r="M358" s="164"/>
      <c r="N358" s="164"/>
      <c r="O358" s="164"/>
    </row>
    <row r="359" spans="1:17" x14ac:dyDescent="0.25">
      <c r="A359" s="138" t="s">
        <v>98</v>
      </c>
      <c r="B359" s="333" t="s">
        <v>95</v>
      </c>
      <c r="C359" s="164"/>
      <c r="D359" s="164"/>
      <c r="E359" s="164"/>
      <c r="F359" s="164"/>
      <c r="G359" s="164"/>
      <c r="H359" s="164"/>
      <c r="I359" s="164"/>
      <c r="J359" s="164"/>
      <c r="K359" s="164"/>
      <c r="L359" s="164"/>
      <c r="M359" s="164"/>
      <c r="N359" s="164"/>
      <c r="O359" s="164"/>
    </row>
    <row r="360" spans="1:17" x14ac:dyDescent="0.25">
      <c r="A360" s="164"/>
      <c r="B360" s="166"/>
      <c r="C360" s="164"/>
      <c r="D360" s="164"/>
      <c r="E360" s="164"/>
      <c r="F360" s="164"/>
      <c r="G360" s="164"/>
      <c r="H360" s="164"/>
      <c r="I360" s="165"/>
      <c r="J360" s="165"/>
      <c r="K360" s="165"/>
      <c r="L360" s="165"/>
      <c r="M360" s="165"/>
      <c r="N360" s="165"/>
      <c r="O360" s="165"/>
      <c r="Q360" s="102"/>
    </row>
    <row r="361" spans="1:17" x14ac:dyDescent="0.25">
      <c r="A361" s="138" t="s">
        <v>100</v>
      </c>
      <c r="B361" s="167" t="str">
        <f>+$B$37</f>
        <v>FY2025</v>
      </c>
      <c r="C361" s="167" t="str">
        <f>+$C$37</f>
        <v>FY2026</v>
      </c>
      <c r="D361" s="167" t="str">
        <f>+$D$37</f>
        <v>FY2027</v>
      </c>
      <c r="E361" s="167" t="str">
        <f>+$E$37</f>
        <v>FY2028</v>
      </c>
      <c r="F361" s="167" t="str">
        <f>+$F$37</f>
        <v>FY2029</v>
      </c>
      <c r="G361" s="167" t="str">
        <f>+$G$37</f>
        <v>FY2030</v>
      </c>
      <c r="H361" s="167" t="str">
        <f>+$H$37</f>
        <v>FY2031</v>
      </c>
      <c r="I361" s="167" t="str">
        <f>CONCATENATE("FY",$AD$3+7)</f>
        <v>FY2032</v>
      </c>
      <c r="J361" s="167" t="str">
        <f>CONCATENATE("FY",$AD$3+8)</f>
        <v>FY2033</v>
      </c>
      <c r="K361" s="167" t="str">
        <f>CONCATENATE("FY",$AD$3+9)</f>
        <v>FY2034</v>
      </c>
      <c r="L361" s="167" t="str">
        <f>CONCATENATE("FY",$AD$3+10)</f>
        <v>FY2035</v>
      </c>
      <c r="M361" s="167" t="str">
        <f>CONCATENATE("FY",$AD$3+11)</f>
        <v>FY2036</v>
      </c>
      <c r="N361" s="165"/>
      <c r="O361" s="165"/>
      <c r="Q361" s="102"/>
    </row>
    <row r="362" spans="1:17" x14ac:dyDescent="0.25">
      <c r="A362" s="138" t="str">
        <f>IF(AND(B355="Contract College",B$6="Federal"),"   Contract (Federal) - Senior Personnel",IF(AND(B355="Contract College",B$6="Non-federal"),"   Contract (Non-federal) - Senior Personnel","   Endowed - Senior Personnel"))</f>
        <v xml:space="preserve">   Endowed - Senior Personnel</v>
      </c>
      <c r="B362" s="398">
        <f t="shared" ref="B362:M362" si="590">IF(AND($B355="Contract College",$B$6="Federal"),HLOOKUP(B361,FringeAndIDCRates,2,FALSE),IF(AND($B355="Contract College",$B$6="Non-Federal"),HLOOKUP(B361,FringeAndIDCRates,3,FALSE),HLOOKUP(B361,FringeAndIDCRates,4,FALSE)))</f>
        <v>0.35</v>
      </c>
      <c r="C362" s="398">
        <f t="shared" si="590"/>
        <v>0.35</v>
      </c>
      <c r="D362" s="398">
        <f t="shared" si="590"/>
        <v>0.35499999999999998</v>
      </c>
      <c r="E362" s="398">
        <f t="shared" si="590"/>
        <v>0.37</v>
      </c>
      <c r="F362" s="398">
        <f t="shared" si="590"/>
        <v>0.37</v>
      </c>
      <c r="G362" s="398">
        <f t="shared" si="590"/>
        <v>0.37</v>
      </c>
      <c r="H362" s="398">
        <f t="shared" si="590"/>
        <v>0.37</v>
      </c>
      <c r="I362" s="398">
        <f t="shared" si="590"/>
        <v>0.37</v>
      </c>
      <c r="J362" s="398">
        <f t="shared" si="590"/>
        <v>0.37</v>
      </c>
      <c r="K362" s="398">
        <f t="shared" si="590"/>
        <v>0.37</v>
      </c>
      <c r="L362" s="398">
        <f t="shared" si="590"/>
        <v>0.37</v>
      </c>
      <c r="M362" s="398">
        <f t="shared" si="590"/>
        <v>0.37</v>
      </c>
      <c r="N362" s="165"/>
      <c r="O362" s="165"/>
      <c r="Q362" s="102"/>
    </row>
    <row r="363" spans="1:17" x14ac:dyDescent="0.25">
      <c r="A363" s="138" t="str">
        <f>IF(AND(B$6="Federal",B358="Contract College"),"   Contract (Federal) - Post Doc",IF(AND(B$6="Non-federal",B358="Contract College"),"   Contract (Non-federal) - Post Doc","   Endowed - Post Doc"))</f>
        <v xml:space="preserve">   Endowed - Post Doc</v>
      </c>
      <c r="B363" s="398">
        <f t="shared" ref="B363:M363" si="591">IF($B358="Endowed College",HLOOKUP(B$37,FringeAndIDCRates,4,FALSE),IF($B$6="Federal",HLOOKUP(B$37,FringeAndIDCRates,2,FALSE),IF($B$6="Non-Federal",HLOOKUP(B$37,FringeAndIDCRates,3,FALSE))))</f>
        <v>0.35</v>
      </c>
      <c r="C363" s="398">
        <f t="shared" si="591"/>
        <v>0.35</v>
      </c>
      <c r="D363" s="398">
        <f t="shared" si="591"/>
        <v>0.35499999999999998</v>
      </c>
      <c r="E363" s="398">
        <f t="shared" si="591"/>
        <v>0.37</v>
      </c>
      <c r="F363" s="398">
        <f t="shared" si="591"/>
        <v>0.37</v>
      </c>
      <c r="G363" s="398">
        <f t="shared" si="591"/>
        <v>0.37</v>
      </c>
      <c r="H363" s="398">
        <f t="shared" si="591"/>
        <v>0.37</v>
      </c>
      <c r="I363" s="398">
        <f t="shared" si="591"/>
        <v>0.37</v>
      </c>
      <c r="J363" s="398">
        <f t="shared" si="591"/>
        <v>0.37</v>
      </c>
      <c r="K363" s="398">
        <f t="shared" si="591"/>
        <v>0.37</v>
      </c>
      <c r="L363" s="398">
        <f t="shared" si="591"/>
        <v>0.37</v>
      </c>
      <c r="M363" s="398">
        <f t="shared" si="591"/>
        <v>0.37</v>
      </c>
      <c r="N363" s="165"/>
      <c r="O363" s="165"/>
      <c r="Q363" s="102"/>
    </row>
    <row r="364" spans="1:17" x14ac:dyDescent="0.25">
      <c r="A364" s="138" t="str">
        <f>IF(AND(B$6="Federal",B359="Contract College"),"   Contract (Federal) - Other Employee",IF(AND(B$6="Non-federal",B359="Contract College"),"   Contract (Non-federal) - Other Empolyee","   Endowed - Other Employee"))</f>
        <v xml:space="preserve">   Endowed - Other Employee</v>
      </c>
      <c r="B364" s="398">
        <f t="shared" ref="B364:M364" si="592">IF($B359="Endowed College",HLOOKUP(B$37,FringeAndIDCRates,4,FALSE),IF($B$6="Federal",HLOOKUP(B$37,FringeAndIDCRates,2,FALSE),IF($B$6="Non-Federal",HLOOKUP(B$37,FringeAndIDCRates,3,FALSE))))</f>
        <v>0.35</v>
      </c>
      <c r="C364" s="398">
        <f t="shared" si="592"/>
        <v>0.35</v>
      </c>
      <c r="D364" s="398">
        <f t="shared" si="592"/>
        <v>0.35499999999999998</v>
      </c>
      <c r="E364" s="398">
        <f t="shared" si="592"/>
        <v>0.37</v>
      </c>
      <c r="F364" s="398">
        <f t="shared" si="592"/>
        <v>0.37</v>
      </c>
      <c r="G364" s="398">
        <f t="shared" si="592"/>
        <v>0.37</v>
      </c>
      <c r="H364" s="398">
        <f t="shared" si="592"/>
        <v>0.37</v>
      </c>
      <c r="I364" s="398">
        <f t="shared" si="592"/>
        <v>0.37</v>
      </c>
      <c r="J364" s="398">
        <f t="shared" si="592"/>
        <v>0.37</v>
      </c>
      <c r="K364" s="398">
        <f t="shared" si="592"/>
        <v>0.37</v>
      </c>
      <c r="L364" s="398">
        <f t="shared" si="592"/>
        <v>0.37</v>
      </c>
      <c r="M364" s="398">
        <f t="shared" si="592"/>
        <v>0.37</v>
      </c>
      <c r="N364" s="165"/>
      <c r="O364" s="165"/>
      <c r="Q364" s="102"/>
    </row>
    <row r="365" spans="1:17" x14ac:dyDescent="0.25">
      <c r="A365" s="138" t="str">
        <f>CONCATENATE("Cornell IDC Rate - ",B355)</f>
        <v>Cornell IDC Rate - Endowed College</v>
      </c>
      <c r="B365" s="398">
        <f t="shared" ref="B365:M365" si="593">IF($B356="Off",(HLOOKUP(B$37,FringeAndIDCRates,8,FALSE)),IF(AND($B$7="Other",$B356="On"),(HLOOKUP(B$37,FringeAndIDCRates,7,FALSE)),IF(AND($B356="On",$B355="Contract College",$B$7="Research"),(HLOOKUP(B$37,FringeAndIDCRates,5,FALSE)),(HLOOKUP(B$37,FringeAndIDCRates,6,FALSE)))))</f>
        <v>0.64</v>
      </c>
      <c r="C365" s="398">
        <f t="shared" si="593"/>
        <v>0.64</v>
      </c>
      <c r="D365" s="398">
        <f t="shared" si="593"/>
        <v>0.64</v>
      </c>
      <c r="E365" s="398">
        <f t="shared" si="593"/>
        <v>0.64</v>
      </c>
      <c r="F365" s="398">
        <f t="shared" si="593"/>
        <v>0.64</v>
      </c>
      <c r="G365" s="398">
        <f t="shared" si="593"/>
        <v>0.64</v>
      </c>
      <c r="H365" s="398">
        <f t="shared" si="593"/>
        <v>0.64</v>
      </c>
      <c r="I365" s="398">
        <f t="shared" si="593"/>
        <v>0.64</v>
      </c>
      <c r="J365" s="398">
        <f t="shared" si="593"/>
        <v>0.64</v>
      </c>
      <c r="K365" s="398">
        <f t="shared" si="593"/>
        <v>0.64</v>
      </c>
      <c r="L365" s="398">
        <f t="shared" si="593"/>
        <v>0.64</v>
      </c>
      <c r="M365" s="398">
        <f t="shared" si="593"/>
        <v>0.64</v>
      </c>
      <c r="N365" s="165"/>
      <c r="O365" s="165"/>
      <c r="Q365" s="102"/>
    </row>
    <row r="366" spans="1:17" x14ac:dyDescent="0.25">
      <c r="A366" s="138" t="str">
        <f>IF($B$8="Yes","","Rate Allowed by Sponsor:")</f>
        <v/>
      </c>
      <c r="B366" s="167" t="str">
        <f t="shared" ref="B366:M366" si="594">IF($B$8="Yes","",IF($B$8="No",HLOOKUP(B$37,FringeAndIDCRates,9,FALSE),(HLOOKUP(B$37,FringeAndIDCRates,9,FALSE))))</f>
        <v/>
      </c>
      <c r="C366" s="167" t="str">
        <f t="shared" si="594"/>
        <v/>
      </c>
      <c r="D366" s="167" t="str">
        <f t="shared" si="594"/>
        <v/>
      </c>
      <c r="E366" s="167" t="str">
        <f t="shared" si="594"/>
        <v/>
      </c>
      <c r="F366" s="167" t="str">
        <f t="shared" si="594"/>
        <v/>
      </c>
      <c r="G366" s="167" t="str">
        <f t="shared" si="594"/>
        <v/>
      </c>
      <c r="H366" s="167" t="str">
        <f t="shared" si="594"/>
        <v/>
      </c>
      <c r="I366" s="167" t="str">
        <f t="shared" si="594"/>
        <v/>
      </c>
      <c r="J366" s="167" t="str">
        <f t="shared" si="594"/>
        <v/>
      </c>
      <c r="K366" s="167" t="str">
        <f t="shared" si="594"/>
        <v/>
      </c>
      <c r="L366" s="167" t="str">
        <f t="shared" si="594"/>
        <v/>
      </c>
      <c r="M366" s="167" t="str">
        <f t="shared" si="594"/>
        <v/>
      </c>
      <c r="N366" s="241"/>
      <c r="O366" s="241"/>
      <c r="Q366" s="102"/>
    </row>
    <row r="367" spans="1:17" x14ac:dyDescent="0.25">
      <c r="B367" s="53"/>
      <c r="C367" s="53"/>
      <c r="D367" s="53"/>
      <c r="E367" s="53"/>
      <c r="F367" s="53"/>
      <c r="G367" s="53"/>
      <c r="H367" s="53"/>
    </row>
    <row r="368" spans="1:17" ht="20.25" x14ac:dyDescent="0.3">
      <c r="A368" s="40" t="s">
        <v>55</v>
      </c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</row>
    <row r="369" spans="1:22" ht="15.75" x14ac:dyDescent="0.25">
      <c r="A369" s="105" t="s">
        <v>87</v>
      </c>
      <c r="B369" s="106" t="str">
        <f>IF(B372=$AE$5,$AE$8,IF(B372=$AF$5,$AF$8,IF(B372=$AG$5,$AG$8,IF(B372=$AH$5,$AH$8,IF(B372=$AI$5,$AI$8,IF(B372=$AJ$5,$AJ$8,IF(B372=$AK$5,$AK$8,IF(B372=$AL$5,$AL$8,IF(B372=$AM$5,$AM$8,IF(B372=$AN$5,$AN$8,IF(B372=$AO$5,$AO$8,IF(B372=$AP$5,$AP$8," "))))))))))))</f>
        <v xml:space="preserve"> </v>
      </c>
      <c r="C369" s="106" t="str">
        <f t="shared" ref="C369:M369" si="595">IF(C372=$AE$5,$AE$8,IF(C372=$AF$5,$AF$8,IF(C372=$AG$5,$AG$8,IF(C372=$AH$5,$AH$8,IF(C372=$AI$5,$AI$8,IF(C372=$AJ$5,$AJ$8,IF(C372=$AK$5,$AK$8,IF(C372=$AL$5,$AL$8,IF(C372=$AM$5,$AM$8,IF(C372=$AN$5,$AN$8,IF(C372=$AO$5,$AO$8,IF(C372=$AP$5,$AP$8," "))))))))))))</f>
        <v>2025-2025</v>
      </c>
      <c r="D369" s="106" t="str">
        <f t="shared" si="595"/>
        <v>2026-2026</v>
      </c>
      <c r="E369" s="106" t="str">
        <f t="shared" si="595"/>
        <v>2027-2027</v>
      </c>
      <c r="F369" s="106" t="str">
        <f t="shared" si="595"/>
        <v>2028-2028</v>
      </c>
      <c r="G369" s="106" t="str">
        <f t="shared" si="595"/>
        <v>2029-2029</v>
      </c>
      <c r="H369" s="106" t="str">
        <f t="shared" si="595"/>
        <v>2030-2030</v>
      </c>
      <c r="I369" s="106" t="str">
        <f t="shared" si="595"/>
        <v>2031-2031</v>
      </c>
      <c r="J369" s="106" t="str">
        <f t="shared" si="595"/>
        <v>2032-2032</v>
      </c>
      <c r="K369" s="106" t="str">
        <f t="shared" si="595"/>
        <v>2033-2033</v>
      </c>
      <c r="L369" s="106" t="str">
        <f t="shared" si="595"/>
        <v>2034-2034</v>
      </c>
      <c r="M369" s="106" t="str">
        <f t="shared" si="595"/>
        <v>2035-2035</v>
      </c>
      <c r="N369" s="106" t="str">
        <f t="shared" ref="N369" si="596">IF(N372=$AE$5,$AE$8,IF(N372=$AF$5,$AF$8,IF(N372=$AG$5,$AG$8,IF(N372=$AH$5,$AH$8,IF(N372=$AI$5,$AI$8,IF(N372=$AJ$5,$AJ$8,IF(N372=$AK$5,$AK$8,IF(N372=$AL$5,$AL$8,IF(N372=$AM$5,$AM$8,IF(N372=$AN$5,$AN$8,IF(N372=$AO$5,$AO$8,IF(N372=$AP$5,$AP$8," "))))))))))))</f>
        <v>2036-2036</v>
      </c>
    </row>
    <row r="371" spans="1:22" x14ac:dyDescent="0.25">
      <c r="A371" s="175" t="str">
        <f>CONCATENATE("Calculation based on ",O373," month salary")</f>
        <v>Calculation based on 9 month salary</v>
      </c>
      <c r="B371" s="104" t="str">
        <f t="shared" ref="B371:L371" si="597">IF(AND(B372=$AE$5,$O373=9),$AE$3,IF(AND(B372=$AF$5,$O373=9),$AF$3,IF(AND(B372=$AG$5,$O373=9),$AG$3,IF(AND(B372=$AH$5,$O373=9),$AH$3,IF(AND(B372=$AI$5,$O373=9),$AI$3,IF(AND(B372=$AJ$5,$O373=9),$AJ$3,IF(AND(B372=$AK$5,$O373=9),$AK$3,IF(AND(B372=$AL$5,$O373=9),$AL$3,IF(AND(B372=$AM$5,$O373=9),$AM$3,IF(AND(B372=$AN$5,$O373=9),$AN$3,IF(AND(B372=$AO$5,$O373=9),$AO$3,IF(AND(B372=$AP$5,$O373=9),$AJ$3,IF(AND(B372=$AE$4,$O373=12),$AE$3,IF(AND(B372=$AF$4,$O373=12),$AF$3,IF(AND(B372=$AG$4,$O373=12),$AG$3,IF(AND(B372=$AH$4,$O373=12),$AH$3,IF(AND(B372=$AI$4,$O373=12),$AI$3,IF(AND(B372=$AJ$4,$O373=12),$AJ$3,IF(AND(B372=$AK$4,$O373=12),$AK$3,IF(AND(B372=$AL$4,$O373=12),$AL$3,IF(AND(B372=$AM$4,$O373=12),$AM$3,IF(AND(B372=$AN$4,$O373=12),$AN$3,IF(AND(B372=$AO$4,$O373=12),$AO$3,IF(AND(B372=$AP$4,$O373=12),$AJ$3," "))))))))))))))))))))))))</f>
        <v xml:space="preserve"> </v>
      </c>
      <c r="C371" s="104" t="str">
        <f t="shared" si="597"/>
        <v>Year 1</v>
      </c>
      <c r="D371" s="104" t="str">
        <f t="shared" si="597"/>
        <v>Year 2</v>
      </c>
      <c r="E371" s="104" t="str">
        <f t="shared" si="597"/>
        <v>Year 3</v>
      </c>
      <c r="F371" s="104" t="str">
        <f t="shared" si="597"/>
        <v>Year 4</v>
      </c>
      <c r="G371" s="104" t="str">
        <f t="shared" si="597"/>
        <v>Year 5</v>
      </c>
      <c r="H371" s="104" t="str">
        <f t="shared" si="597"/>
        <v>Year 6</v>
      </c>
      <c r="I371" s="104" t="str">
        <f t="shared" si="597"/>
        <v>Year 7</v>
      </c>
      <c r="J371" s="104" t="str">
        <f t="shared" si="597"/>
        <v>Year 8</v>
      </c>
      <c r="K371" s="104" t="str">
        <f t="shared" si="597"/>
        <v>Year 9</v>
      </c>
      <c r="L371" s="104" t="str">
        <f t="shared" si="597"/>
        <v>Year 10</v>
      </c>
      <c r="M371" s="104" t="str">
        <f>IF(AND(M372=$AE$5,$O373=9),$AE$3,IF(AND(M372=$AF$5,$O373=9),$AF$3,IF(AND(M372=$AG$5,$O373=9),$AG$3,IF(AND(M372=$AH$5,$O373=9),$AH$3,IF(AND(M372=$AI$5,$O373=9),$AI$3,IF(AND(M372=$AJ$5,$O373=9),$AJ$3,IF(AND(M372=$AK$5,$O373=9),$AK$3,IF(AND(M372=$AL$5,$O373=9),$AL$3,IF(AND(M372=$AM$5,$O373=9),$AM$3,IF(AND(M372=$AN$5,$O373=9),$AN$3,IF(AND(M372=$AO$5,$O373=9),$AO$3,IF(AND(M372=$AP$5,$O373=9),$AP$3,IF(AND(M372=$AQ$5,$O373=9),$AJ$3,IF(AND(M372=$AE$4,$O373=12),$AE$3,IF(AND(M372=$AF$4,$O373=12),$AF$3,IF(AND(M372=$AG$4,$O373=12),$AG$3,IF(AND(M372=$AH$4,$O373=12),$AH$3,IF(AND(M372=$AI$4,$O373=12),$AI$3,IF(AND(M372=$AJ$4,$O373=12),$AJ$3,IF(AND(M372=$AK$4,$O373=12),$AK$3,IF(AND(M372=$AL$4,$O373=12),$AL$3,IF(AND(M372=$AM$4,$O373=12),$AM$3,IF(AND(M372=$AN$4,$O373=12),$AN$3,IF(AND(M372=$AO$4,$O373=12),$AO$3,IF(AND(M372=$AP$4,$O373=12),$AP$3,IF(AND(M372=$AQ$4,$O373=12),$AJ$3," "))))))))))))))))))))))))))</f>
        <v>Year 11</v>
      </c>
      <c r="N371" s="104" t="str">
        <f>IF(AND(N372=$AE$5,$O373=9),$AE$3,IF(AND(N372=$AF$5,$O373=9),$AF$3,IF(AND(N372=$AG$5,$O373=9),$AG$3,IF(AND(N372=$AH$5,$O373=9),$AH$3,IF(AND(N372=$AI$5,$O373=9),$AI$3,IF(AND(N372=$AJ$5,$O373=9),$AJ$3,IF(AND(N372=$AK$5,$O373=9),$AK$3,IF(AND(N372=$AL$5,$O373=9),$AL$3,IF(AND(N372=$AM$5,$O373=9),$AM$3,IF(AND(N372=$AN$5,$O373=9),$AN$3,IF(AND(N372=$AO$5,$O373=9),$AO$3,IF(AND(N372=$AP$5,$O373=9),$AP$3,IF(AND(N372=$AQ$5,$O373=9),$AJ$3,IF(AND(N372=$AE$4,$O373=12),$AE$3,IF(AND(N372=$AF$4,$O373=12),$AF$3,IF(AND(N372=$AG$4,$O373=12),$AG$3,IF(AND(N372=$AH$4,$O373=12),$AH$3,IF(AND(N372=$AI$4,$O373=12),$AI$3,IF(AND(N372=$AJ$4,$O373=12),$AJ$3,IF(AND(N372=$AK$4,$O373=12),$AK$3,IF(AND(N372=$AL$4,$O373=12),$AL$3,IF(AND(N372=$AM$4,$O373=12),$AM$3,IF(AND(N372=$AN$4,$O373=12),$AN$3,IF(AND(N372=$AO$4,$O373=12),$AO$3,IF(AND(N372=$AP$4,$O373=12),$AP$3,IF(AND(N372=$AQ$4,$O373=12),$AJ$3," "))))))))))))))))))))))))))</f>
        <v>Year 12</v>
      </c>
    </row>
    <row r="372" spans="1:22" x14ac:dyDescent="0.25">
      <c r="A372" s="176" t="str">
        <f>+B352</f>
        <v>Co-PI</v>
      </c>
      <c r="B372" s="55" t="str">
        <f t="shared" ref="B372:I372" si="598">+N$2</f>
        <v>FY2025</v>
      </c>
      <c r="C372" s="55" t="str">
        <f t="shared" si="598"/>
        <v>FY2026</v>
      </c>
      <c r="D372" s="55" t="str">
        <f t="shared" si="598"/>
        <v>FY2027</v>
      </c>
      <c r="E372" s="55" t="str">
        <f t="shared" si="598"/>
        <v>FY2028</v>
      </c>
      <c r="F372" s="55" t="str">
        <f t="shared" si="598"/>
        <v>FY2029</v>
      </c>
      <c r="G372" s="55" t="str">
        <f t="shared" si="598"/>
        <v>FY2030</v>
      </c>
      <c r="H372" s="55" t="str">
        <f t="shared" si="598"/>
        <v>FY2031</v>
      </c>
      <c r="I372" s="55" t="str">
        <f t="shared" si="598"/>
        <v>FY2032</v>
      </c>
      <c r="J372" s="55" t="str">
        <f t="shared" ref="J372" si="599">+V$2</f>
        <v>FY2033</v>
      </c>
      <c r="K372" s="55" t="str">
        <f t="shared" ref="K372" si="600">+W$2</f>
        <v>FY2034</v>
      </c>
      <c r="L372" s="55" t="str">
        <f t="shared" ref="L372" si="601">+X$2</f>
        <v>FY2035</v>
      </c>
      <c r="M372" s="55" t="str">
        <f t="shared" ref="M372:N372" si="602">+Y$2</f>
        <v>FY2036</v>
      </c>
      <c r="N372" s="55" t="str">
        <f t="shared" si="602"/>
        <v>FY2037</v>
      </c>
      <c r="O372" s="32" t="s">
        <v>20</v>
      </c>
      <c r="P372" s="89"/>
      <c r="Q372" s="89"/>
    </row>
    <row r="373" spans="1:22" x14ac:dyDescent="0.25">
      <c r="A373" s="168" t="str">
        <f>CONCATENATE("Base Salary: ",O373," month term")</f>
        <v>Base Salary: 9 month term</v>
      </c>
      <c r="B373" s="383">
        <v>0</v>
      </c>
      <c r="C373" s="384">
        <f t="shared" ref="C373:N373" si="603">ROUND(+B373*(1+(HLOOKUP(C372,FringeAndIDCRates,10,FALSE))),0)</f>
        <v>0</v>
      </c>
      <c r="D373" s="384">
        <f t="shared" si="603"/>
        <v>0</v>
      </c>
      <c r="E373" s="384">
        <f t="shared" si="603"/>
        <v>0</v>
      </c>
      <c r="F373" s="384">
        <f t="shared" si="603"/>
        <v>0</v>
      </c>
      <c r="G373" s="384">
        <f t="shared" si="603"/>
        <v>0</v>
      </c>
      <c r="H373" s="384">
        <f t="shared" si="603"/>
        <v>0</v>
      </c>
      <c r="I373" s="384">
        <f t="shared" si="603"/>
        <v>0</v>
      </c>
      <c r="J373" s="384">
        <f t="shared" si="603"/>
        <v>0</v>
      </c>
      <c r="K373" s="384">
        <f t="shared" si="603"/>
        <v>0</v>
      </c>
      <c r="L373" s="384">
        <f t="shared" si="603"/>
        <v>0</v>
      </c>
      <c r="M373" s="384">
        <f t="shared" si="603"/>
        <v>0</v>
      </c>
      <c r="N373" s="384">
        <f t="shared" si="603"/>
        <v>0</v>
      </c>
      <c r="O373" s="310">
        <v>9</v>
      </c>
      <c r="P373" s="311"/>
      <c r="Q373" s="52"/>
    </row>
    <row r="374" spans="1:22" x14ac:dyDescent="0.25">
      <c r="A374" s="168" t="s">
        <v>44</v>
      </c>
      <c r="B374" s="312">
        <v>0</v>
      </c>
      <c r="C374" s="312">
        <v>0</v>
      </c>
      <c r="D374" s="312">
        <v>0</v>
      </c>
      <c r="E374" s="312">
        <v>0</v>
      </c>
      <c r="F374" s="312">
        <v>0</v>
      </c>
      <c r="G374" s="312">
        <v>0</v>
      </c>
      <c r="H374" s="312">
        <v>0</v>
      </c>
      <c r="I374" s="312">
        <v>0</v>
      </c>
      <c r="J374" s="312">
        <v>0</v>
      </c>
      <c r="K374" s="312">
        <v>0</v>
      </c>
      <c r="L374" s="312">
        <v>0</v>
      </c>
      <c r="M374" s="312">
        <v>0</v>
      </c>
      <c r="N374" s="312">
        <v>0</v>
      </c>
      <c r="O374" s="25"/>
      <c r="P374" s="25"/>
      <c r="Q374" s="25"/>
    </row>
    <row r="375" spans="1:22" x14ac:dyDescent="0.25">
      <c r="A375" s="168" t="str">
        <f>CONCATENATE("FTE for ",O373," Months")</f>
        <v>FTE for 9 Months</v>
      </c>
      <c r="B375" s="393">
        <f t="shared" ref="B375:M375" si="604">+B374/$O373</f>
        <v>0</v>
      </c>
      <c r="C375" s="393">
        <f t="shared" si="604"/>
        <v>0</v>
      </c>
      <c r="D375" s="393">
        <f t="shared" si="604"/>
        <v>0</v>
      </c>
      <c r="E375" s="393">
        <f t="shared" si="604"/>
        <v>0</v>
      </c>
      <c r="F375" s="393">
        <f t="shared" si="604"/>
        <v>0</v>
      </c>
      <c r="G375" s="393">
        <f t="shared" si="604"/>
        <v>0</v>
      </c>
      <c r="H375" s="393">
        <f t="shared" si="604"/>
        <v>0</v>
      </c>
      <c r="I375" s="393">
        <f t="shared" si="604"/>
        <v>0</v>
      </c>
      <c r="J375" s="393">
        <f t="shared" si="604"/>
        <v>0</v>
      </c>
      <c r="K375" s="393">
        <f t="shared" si="604"/>
        <v>0</v>
      </c>
      <c r="L375" s="393">
        <f t="shared" si="604"/>
        <v>0</v>
      </c>
      <c r="M375" s="393">
        <f t="shared" si="604"/>
        <v>0</v>
      </c>
      <c r="N375" s="393">
        <f t="shared" ref="N375" si="605">+N374/$O373</f>
        <v>0</v>
      </c>
      <c r="O375" s="89"/>
      <c r="P375" s="89"/>
      <c r="Q375" s="89"/>
    </row>
    <row r="376" spans="1:22" x14ac:dyDescent="0.25">
      <c r="A376" s="177" t="s">
        <v>56</v>
      </c>
      <c r="B376" s="394">
        <f t="shared" ref="B376:F376" si="606">+B374/12</f>
        <v>0</v>
      </c>
      <c r="C376" s="394">
        <f t="shared" si="606"/>
        <v>0</v>
      </c>
      <c r="D376" s="394">
        <f t="shared" si="606"/>
        <v>0</v>
      </c>
      <c r="E376" s="394">
        <f t="shared" si="606"/>
        <v>0</v>
      </c>
      <c r="F376" s="394">
        <f t="shared" si="606"/>
        <v>0</v>
      </c>
      <c r="G376" s="394">
        <f t="shared" ref="G376:L376" si="607">+G374/12</f>
        <v>0</v>
      </c>
      <c r="H376" s="394">
        <f t="shared" si="607"/>
        <v>0</v>
      </c>
      <c r="I376" s="394">
        <f t="shared" si="607"/>
        <v>0</v>
      </c>
      <c r="J376" s="394">
        <f t="shared" si="607"/>
        <v>0</v>
      </c>
      <c r="K376" s="394">
        <f t="shared" si="607"/>
        <v>0</v>
      </c>
      <c r="L376" s="394">
        <f t="shared" si="607"/>
        <v>0</v>
      </c>
      <c r="M376" s="394">
        <f t="shared" ref="M376:N376" si="608">+M374/12</f>
        <v>0</v>
      </c>
      <c r="N376" s="394">
        <f t="shared" si="608"/>
        <v>0</v>
      </c>
      <c r="O376" s="89"/>
      <c r="P376" s="89"/>
      <c r="Q376" s="89"/>
    </row>
    <row r="377" spans="1:22" x14ac:dyDescent="0.25">
      <c r="A377" s="168" t="s">
        <v>21</v>
      </c>
      <c r="B377" s="110">
        <f t="shared" ref="B377:K377" si="609">IF($O373=9,ROUND(B373*B375,0),IF($O373=12,ROUND((B373*B375*$Q$41)+(C373*B375*$Q$42),0),0))</f>
        <v>0</v>
      </c>
      <c r="C377" s="110">
        <f t="shared" si="609"/>
        <v>0</v>
      </c>
      <c r="D377" s="110">
        <f t="shared" si="609"/>
        <v>0</v>
      </c>
      <c r="E377" s="110">
        <f t="shared" si="609"/>
        <v>0</v>
      </c>
      <c r="F377" s="110">
        <f t="shared" si="609"/>
        <v>0</v>
      </c>
      <c r="G377" s="110">
        <f t="shared" si="609"/>
        <v>0</v>
      </c>
      <c r="H377" s="110">
        <f t="shared" si="609"/>
        <v>0</v>
      </c>
      <c r="I377" s="110">
        <f t="shared" si="609"/>
        <v>0</v>
      </c>
      <c r="J377" s="110">
        <f t="shared" si="609"/>
        <v>0</v>
      </c>
      <c r="K377" s="110">
        <f t="shared" si="609"/>
        <v>0</v>
      </c>
      <c r="L377" s="110">
        <f>IF($O373=9,ROUND(L373*L375,0),IF($O373=12,ROUND((L373*L375*$Q$41)+(N373*L375*$Q$42),0),0))</f>
        <v>0</v>
      </c>
      <c r="M377" s="110">
        <f>IF($O373=9,ROUND(M373*M375,0),IF($O373=12,ROUND((M373*M375*$Q$41)+(O373*M375*$Q$42),0),0))</f>
        <v>0</v>
      </c>
      <c r="N377" s="110">
        <f>IF($O373=9,ROUND(N373*N375,0),IF($O373=12,ROUND((N373*N375*$Q$41)+(P373*N375*$Q$42),0),0))</f>
        <v>0</v>
      </c>
      <c r="O377" s="89"/>
      <c r="P377" s="89"/>
      <c r="Q377" s="89"/>
    </row>
    <row r="378" spans="1:22" x14ac:dyDescent="0.25">
      <c r="A378" s="164"/>
      <c r="O378" s="89"/>
      <c r="P378" s="89"/>
      <c r="Q378" s="89"/>
    </row>
    <row r="379" spans="1:22" x14ac:dyDescent="0.25">
      <c r="A379" s="175" t="str">
        <f>CONCATENATE("Calculation based on ",O381," month salary")</f>
        <v>Calculation based on 9 month salary</v>
      </c>
      <c r="B379" s="104" t="str">
        <f t="shared" ref="B379:L379" si="610">IF(AND(B380=$AE$5,$O381=9),$AE$3,IF(AND(B380=$AF$5,$O381=9),$AF$3,IF(AND(B380=$AG$5,$O381=9),$AG$3,IF(AND(B380=$AH$5,$O381=9),$AH$3,IF(AND(B380=$AI$5,$O381=9),$AI$3,IF(AND(B380=$AJ$5,$O381=9),$AJ$3,IF(AND(B380=$AK$5,$O381=9),$AK$3,IF(AND(B380=$AL$5,$O381=9),$AL$3,IF(AND(B380=$AM$5,$O381=9),$AM$3,IF(AND(B380=$AN$5,$O381=9),$AN$3,IF(AND(B380=$AO$5,$O381=9),$AO$3,IF(AND(B380=$AP$5,$O381=9),$AJ$3,IF(AND(B380=$AE$4,$O381=12),$AE$3,IF(AND(B380=$AF$4,$O381=12),$AF$3,IF(AND(B380=$AG$4,$O381=12),$AG$3,IF(AND(B380=$AH$4,$O381=12),$AH$3,IF(AND(B380=$AI$4,$O381=12),$AI$3,IF(AND(B380=$AJ$4,$O381=12),$AJ$3,IF(AND(B380=$AK$4,$O381=12),$AK$3,IF(AND(B380=$AL$4,$O381=12),$AL$3,IF(AND(B380=$AM$4,$O381=12),$AM$3,IF(AND(B380=$AN$4,$O381=12),$AN$3,IF(AND(B380=$AO$4,$O381=12),$AO$3,IF(AND(B380=$AP$4,$O381=12),$AJ$3," "))))))))))))))))))))))))</f>
        <v xml:space="preserve"> </v>
      </c>
      <c r="C379" s="104" t="str">
        <f t="shared" si="610"/>
        <v>Year 1</v>
      </c>
      <c r="D379" s="104" t="str">
        <f t="shared" si="610"/>
        <v>Year 2</v>
      </c>
      <c r="E379" s="104" t="str">
        <f t="shared" si="610"/>
        <v>Year 3</v>
      </c>
      <c r="F379" s="104" t="str">
        <f t="shared" si="610"/>
        <v>Year 4</v>
      </c>
      <c r="G379" s="104" t="str">
        <f t="shared" si="610"/>
        <v>Year 5</v>
      </c>
      <c r="H379" s="104" t="str">
        <f t="shared" si="610"/>
        <v>Year 6</v>
      </c>
      <c r="I379" s="104" t="str">
        <f t="shared" si="610"/>
        <v>Year 7</v>
      </c>
      <c r="J379" s="104" t="str">
        <f t="shared" si="610"/>
        <v>Year 8</v>
      </c>
      <c r="K379" s="104" t="str">
        <f t="shared" si="610"/>
        <v>Year 9</v>
      </c>
      <c r="L379" s="104" t="str">
        <f t="shared" si="610"/>
        <v>Year 10</v>
      </c>
      <c r="M379" s="104" t="str">
        <f>IF(AND(M380=$AE$5,$O381=9),$AE$3,IF(AND(M380=$AF$5,$O381=9),$AF$3,IF(AND(M380=$AG$5,$O381=9),$AG$3,IF(AND(M380=$AH$5,$O381=9),$AH$3,IF(AND(M380=$AI$5,$O381=9),$AI$3,IF(AND(M380=$AJ$5,$O381=9),$AJ$3,IF(AND(M380=$AK$5,$O381=9),$AK$3,IF(AND(M380=$AL$5,$O381=9),$AL$3,IF(AND(M380=$AM$5,$O381=9),$AM$3,IF(AND(M380=$AN$5,$O381=9),$AN$3,IF(AND(M380=$AO$5,$O381=9),$AO$3,IF(AND(M380=$AP$5,$O381=9),$AP$3,IF(AND(M380=$AQ$5,$O381=9),$AJ$3,IF(AND(M380=$AE$4,$O381=12),$AE$3,IF(AND(M380=$AF$4,$O381=12),$AF$3,IF(AND(M380=$AG$4,$O381=12),$AG$3,IF(AND(M380=$AH$4,$O381=12),$AH$3,IF(AND(M380=$AI$4,$O381=12),$AI$3,IF(AND(M380=$AJ$4,$O381=12),$AJ$3,IF(AND(M380=$AK$4,$O381=12),$AK$3,IF(AND(M380=$AL$4,$O381=12),$AL$3,IF(AND(M380=$AM$4,$O381=12),$AM$3,IF(AND(M380=$AN$4,$O381=12),$AN$3,IF(AND(M380=$AO$4,$O381=12),$AO$3,IF(AND(M380=$AP$4,$O381=12),$AP$3,IF(AND(M380=$AQ$4,$O381=12),$AJ$3," "))))))))))))))))))))))))))</f>
        <v>Year 11</v>
      </c>
      <c r="N379" s="104" t="str">
        <f>IF(AND(N380=$AE$5,$O381=9),$AE$3,IF(AND(N380=$AF$5,$O381=9),$AF$3,IF(AND(N380=$AG$5,$O381=9),$AG$3,IF(AND(N380=$AH$5,$O381=9),$AH$3,IF(AND(N380=$AI$5,$O381=9),$AI$3,IF(AND(N380=$AJ$5,$O381=9),$AJ$3,IF(AND(N380=$AK$5,$O381=9),$AK$3,IF(AND(N380=$AL$5,$O381=9),$AL$3,IF(AND(N380=$AM$5,$O381=9),$AM$3,IF(AND(N380=$AN$5,$O381=9),$AN$3,IF(AND(N380=$AO$5,$O381=9),$AO$3,IF(AND(N380=$AP$5,$O381=9),$AP$3,IF(AND(N380=$AQ$5,$O381=9),$AJ$3,IF(AND(N380=$AE$4,$O381=12),$AE$3,IF(AND(N380=$AF$4,$O381=12),$AF$3,IF(AND(N380=$AG$4,$O381=12),$AG$3,IF(AND(N380=$AH$4,$O381=12),$AH$3,IF(AND(N380=$AI$4,$O381=12),$AI$3,IF(AND(N380=$AJ$4,$O381=12),$AJ$3,IF(AND(N380=$AK$4,$O381=12),$AK$3,IF(AND(N380=$AL$4,$O381=12),$AL$3,IF(AND(N380=$AM$4,$O381=12),$AM$3,IF(AND(N380=$AN$4,$O381=12),$AN$3,IF(AND(N380=$AO$4,$O381=12),$AO$3,IF(AND(N380=$AP$4,$O381=12),$AP$3,IF(AND(N380=$AQ$4,$O381=12),$AJ$3," "))))))))))))))))))))))))))</f>
        <v>Year 12</v>
      </c>
      <c r="O379" s="89"/>
      <c r="P379" s="89"/>
      <c r="Q379" s="89"/>
      <c r="V379" s="23"/>
    </row>
    <row r="380" spans="1:22" x14ac:dyDescent="0.25">
      <c r="A380" s="176" t="str">
        <f>+B353</f>
        <v>Co-PI</v>
      </c>
      <c r="B380" s="55" t="str">
        <f t="shared" ref="B380:I380" si="611">+N$2</f>
        <v>FY2025</v>
      </c>
      <c r="C380" s="55" t="str">
        <f t="shared" si="611"/>
        <v>FY2026</v>
      </c>
      <c r="D380" s="55" t="str">
        <f t="shared" si="611"/>
        <v>FY2027</v>
      </c>
      <c r="E380" s="55" t="str">
        <f t="shared" si="611"/>
        <v>FY2028</v>
      </c>
      <c r="F380" s="55" t="str">
        <f t="shared" si="611"/>
        <v>FY2029</v>
      </c>
      <c r="G380" s="55" t="str">
        <f t="shared" si="611"/>
        <v>FY2030</v>
      </c>
      <c r="H380" s="55" t="str">
        <f t="shared" si="611"/>
        <v>FY2031</v>
      </c>
      <c r="I380" s="55" t="str">
        <f t="shared" si="611"/>
        <v>FY2032</v>
      </c>
      <c r="J380" s="55" t="str">
        <f t="shared" ref="J380" si="612">+V$2</f>
        <v>FY2033</v>
      </c>
      <c r="K380" s="55" t="str">
        <f t="shared" ref="K380" si="613">+W$2</f>
        <v>FY2034</v>
      </c>
      <c r="L380" s="55" t="str">
        <f t="shared" ref="L380" si="614">+X$2</f>
        <v>FY2035</v>
      </c>
      <c r="M380" s="55" t="str">
        <f t="shared" ref="M380:N380" si="615">+Y$2</f>
        <v>FY2036</v>
      </c>
      <c r="N380" s="55" t="str">
        <f t="shared" si="615"/>
        <v>FY2037</v>
      </c>
      <c r="O380" s="32" t="s">
        <v>20</v>
      </c>
      <c r="P380" s="89"/>
      <c r="Q380" s="89"/>
      <c r="V380" s="23"/>
    </row>
    <row r="381" spans="1:22" x14ac:dyDescent="0.25">
      <c r="A381" s="168" t="str">
        <f>CONCATENATE("Base Salary: ",O381," month term")</f>
        <v>Base Salary: 9 month term</v>
      </c>
      <c r="B381" s="383">
        <v>0</v>
      </c>
      <c r="C381" s="384">
        <f t="shared" ref="C381:N381" si="616">ROUND(+B381*(1+(HLOOKUP(C380,FringeAndIDCRates,10,FALSE))),0)</f>
        <v>0</v>
      </c>
      <c r="D381" s="384">
        <f t="shared" si="616"/>
        <v>0</v>
      </c>
      <c r="E381" s="384">
        <f t="shared" si="616"/>
        <v>0</v>
      </c>
      <c r="F381" s="384">
        <f t="shared" si="616"/>
        <v>0</v>
      </c>
      <c r="G381" s="384">
        <f t="shared" si="616"/>
        <v>0</v>
      </c>
      <c r="H381" s="384">
        <f t="shared" si="616"/>
        <v>0</v>
      </c>
      <c r="I381" s="384">
        <f t="shared" si="616"/>
        <v>0</v>
      </c>
      <c r="J381" s="384">
        <f t="shared" si="616"/>
        <v>0</v>
      </c>
      <c r="K381" s="384">
        <f t="shared" si="616"/>
        <v>0</v>
      </c>
      <c r="L381" s="384">
        <f t="shared" si="616"/>
        <v>0</v>
      </c>
      <c r="M381" s="384">
        <f t="shared" si="616"/>
        <v>0</v>
      </c>
      <c r="N381" s="384">
        <f t="shared" si="616"/>
        <v>0</v>
      </c>
      <c r="O381" s="310">
        <v>9</v>
      </c>
      <c r="P381" s="311"/>
      <c r="Q381" s="52"/>
      <c r="V381" s="23"/>
    </row>
    <row r="382" spans="1:22" x14ac:dyDescent="0.25">
      <c r="A382" s="168" t="s">
        <v>44</v>
      </c>
      <c r="B382" s="312">
        <v>0</v>
      </c>
      <c r="C382" s="312">
        <v>0</v>
      </c>
      <c r="D382" s="312">
        <v>0</v>
      </c>
      <c r="E382" s="312">
        <v>0</v>
      </c>
      <c r="F382" s="312">
        <v>0</v>
      </c>
      <c r="G382" s="312">
        <v>0</v>
      </c>
      <c r="H382" s="312">
        <v>0</v>
      </c>
      <c r="I382" s="312">
        <v>0</v>
      </c>
      <c r="J382" s="312">
        <v>0</v>
      </c>
      <c r="K382" s="312">
        <v>0</v>
      </c>
      <c r="L382" s="312">
        <v>0</v>
      </c>
      <c r="M382" s="312">
        <v>0</v>
      </c>
      <c r="N382" s="312">
        <v>0</v>
      </c>
      <c r="O382" s="25"/>
      <c r="P382" s="25"/>
      <c r="Q382" s="25"/>
    </row>
    <row r="383" spans="1:22" x14ac:dyDescent="0.25">
      <c r="A383" s="168" t="str">
        <f>CONCATENATE("FTE for ",O381," Months")</f>
        <v>FTE for 9 Months</v>
      </c>
      <c r="B383" s="393">
        <f t="shared" ref="B383:M383" si="617">+B382/$O381</f>
        <v>0</v>
      </c>
      <c r="C383" s="393">
        <f t="shared" si="617"/>
        <v>0</v>
      </c>
      <c r="D383" s="393">
        <f t="shared" si="617"/>
        <v>0</v>
      </c>
      <c r="E383" s="393">
        <f t="shared" si="617"/>
        <v>0</v>
      </c>
      <c r="F383" s="393">
        <f t="shared" si="617"/>
        <v>0</v>
      </c>
      <c r="G383" s="393">
        <f t="shared" si="617"/>
        <v>0</v>
      </c>
      <c r="H383" s="393">
        <f t="shared" si="617"/>
        <v>0</v>
      </c>
      <c r="I383" s="393">
        <f t="shared" si="617"/>
        <v>0</v>
      </c>
      <c r="J383" s="393">
        <f t="shared" si="617"/>
        <v>0</v>
      </c>
      <c r="K383" s="393">
        <f t="shared" si="617"/>
        <v>0</v>
      </c>
      <c r="L383" s="393">
        <f t="shared" si="617"/>
        <v>0</v>
      </c>
      <c r="M383" s="393">
        <f t="shared" si="617"/>
        <v>0</v>
      </c>
      <c r="N383" s="393">
        <f t="shared" ref="N383" si="618">+N382/$O381</f>
        <v>0</v>
      </c>
      <c r="O383" s="89"/>
      <c r="P383" s="89"/>
      <c r="Q383" s="89"/>
    </row>
    <row r="384" spans="1:22" x14ac:dyDescent="0.25">
      <c r="A384" s="177" t="s">
        <v>56</v>
      </c>
      <c r="B384" s="394">
        <f>+B382/12</f>
        <v>0</v>
      </c>
      <c r="C384" s="394">
        <f>+C382/12</f>
        <v>0</v>
      </c>
      <c r="D384" s="394">
        <f t="shared" ref="D384" si="619">+D382/12</f>
        <v>0</v>
      </c>
      <c r="E384" s="394">
        <f t="shared" ref="E384:L384" si="620">+E382/12</f>
        <v>0</v>
      </c>
      <c r="F384" s="394">
        <f t="shared" si="620"/>
        <v>0</v>
      </c>
      <c r="G384" s="394">
        <f t="shared" si="620"/>
        <v>0</v>
      </c>
      <c r="H384" s="394">
        <f t="shared" si="620"/>
        <v>0</v>
      </c>
      <c r="I384" s="394">
        <f t="shared" si="620"/>
        <v>0</v>
      </c>
      <c r="J384" s="394">
        <f t="shared" si="620"/>
        <v>0</v>
      </c>
      <c r="K384" s="394">
        <f t="shared" si="620"/>
        <v>0</v>
      </c>
      <c r="L384" s="394">
        <f t="shared" si="620"/>
        <v>0</v>
      </c>
      <c r="M384" s="394">
        <f t="shared" ref="M384:N384" si="621">+M382/12</f>
        <v>0</v>
      </c>
      <c r="N384" s="394">
        <f t="shared" si="621"/>
        <v>0</v>
      </c>
      <c r="O384" s="89"/>
      <c r="P384" s="89"/>
      <c r="Q384" s="89"/>
    </row>
    <row r="385" spans="1:33" x14ac:dyDescent="0.25">
      <c r="A385" s="168" t="s">
        <v>21</v>
      </c>
      <c r="B385" s="110">
        <f t="shared" ref="B385:K385" si="622">IF($O381=9,ROUND(B381*B383,0),IF($O381=12,ROUND((B381*B383*$Q$41)+(C381*B383*$Q$42),0),0))</f>
        <v>0</v>
      </c>
      <c r="C385" s="110">
        <f t="shared" si="622"/>
        <v>0</v>
      </c>
      <c r="D385" s="110">
        <f t="shared" si="622"/>
        <v>0</v>
      </c>
      <c r="E385" s="110">
        <f t="shared" si="622"/>
        <v>0</v>
      </c>
      <c r="F385" s="110">
        <f t="shared" si="622"/>
        <v>0</v>
      </c>
      <c r="G385" s="110">
        <f t="shared" si="622"/>
        <v>0</v>
      </c>
      <c r="H385" s="110">
        <f t="shared" si="622"/>
        <v>0</v>
      </c>
      <c r="I385" s="110">
        <f t="shared" si="622"/>
        <v>0</v>
      </c>
      <c r="J385" s="110">
        <f t="shared" si="622"/>
        <v>0</v>
      </c>
      <c r="K385" s="110">
        <f t="shared" si="622"/>
        <v>0</v>
      </c>
      <c r="L385" s="110">
        <f>IF($O381=9,ROUND(L381*L383,0),IF($O381=12,ROUND((L381*L383*$Q$41)+(N381*L383*$Q$42),0),0))</f>
        <v>0</v>
      </c>
      <c r="M385" s="110">
        <f>IF($O381=9,ROUND(M381*M383,0),IF($O381=12,ROUND((M381*M383*$Q$41)+(O381*M383*$Q$42),0),0))</f>
        <v>0</v>
      </c>
      <c r="N385" s="110">
        <f>IF($O381=9,ROUND(N381*N383,0),IF($O381=12,ROUND((N381*N383*$Q$41)+(P381*N383*$Q$42),0),0))</f>
        <v>0</v>
      </c>
      <c r="O385" s="89"/>
      <c r="P385" s="89"/>
      <c r="Q385" s="89"/>
    </row>
    <row r="386" spans="1:33" x14ac:dyDescent="0.25">
      <c r="A386" s="168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89"/>
      <c r="P386" s="89"/>
      <c r="Q386" s="89"/>
      <c r="R386" s="26"/>
      <c r="S386" s="23"/>
      <c r="T386" s="23"/>
      <c r="U386" s="23"/>
      <c r="V386" s="23"/>
      <c r="W386" s="23"/>
    </row>
    <row r="387" spans="1:33" x14ac:dyDescent="0.25">
      <c r="A387" s="175" t="str">
        <f>CONCATENATE("Calculation based on ",O389," month salary")</f>
        <v>Calculation based on 9 month salary</v>
      </c>
      <c r="B387" s="104" t="str">
        <f t="shared" ref="B387:L387" si="623">IF(AND(B388=$AE$5,$O389=9),$AE$3,IF(AND(B388=$AF$5,$O389=9),$AF$3,IF(AND(B388=$AG$5,$O389=9),$AG$3,IF(AND(B388=$AH$5,$O389=9),$AH$3,IF(AND(B388=$AI$5,$O389=9),$AI$3,IF(AND(B388=$AJ$5,$O389=9),$AJ$3,IF(AND(B388=$AK$5,$O389=9),$AK$3,IF(AND(B388=$AL$5,$O389=9),$AL$3,IF(AND(B388=$AM$5,$O389=9),$AM$3,IF(AND(B388=$AN$5,$O389=9),$AN$3,IF(AND(B388=$AO$5,$O389=9),$AO$3,IF(AND(B388=$AP$5,$O389=9),$AJ$3,IF(AND(B388=$AE$4,$O389=12),$AE$3,IF(AND(B388=$AF$4,$O389=12),$AF$3,IF(AND(B388=$AG$4,$O389=12),$AG$3,IF(AND(B388=$AH$4,$O389=12),$AH$3,IF(AND(B388=$AI$4,$O389=12),$AI$3,IF(AND(B388=$AJ$4,$O389=12),$AJ$3,IF(AND(B388=$AK$4,$O389=12),$AK$3,IF(AND(B388=$AL$4,$O389=12),$AL$3,IF(AND(B388=$AM$4,$O389=12),$AM$3,IF(AND(B388=$AN$4,$O389=12),$AN$3,IF(AND(B388=$AO$4,$O389=12),$AO$3,IF(AND(B388=$AP$4,$O389=12),$AJ$3," "))))))))))))))))))))))))</f>
        <v xml:space="preserve"> </v>
      </c>
      <c r="C387" s="104" t="str">
        <f t="shared" si="623"/>
        <v>Year 1</v>
      </c>
      <c r="D387" s="104" t="str">
        <f t="shared" si="623"/>
        <v>Year 2</v>
      </c>
      <c r="E387" s="104" t="str">
        <f t="shared" si="623"/>
        <v>Year 3</v>
      </c>
      <c r="F387" s="104" t="str">
        <f t="shared" si="623"/>
        <v>Year 4</v>
      </c>
      <c r="G387" s="104" t="str">
        <f t="shared" si="623"/>
        <v>Year 5</v>
      </c>
      <c r="H387" s="104" t="str">
        <f t="shared" si="623"/>
        <v>Year 6</v>
      </c>
      <c r="I387" s="104" t="str">
        <f t="shared" si="623"/>
        <v>Year 7</v>
      </c>
      <c r="J387" s="104" t="str">
        <f t="shared" si="623"/>
        <v>Year 8</v>
      </c>
      <c r="K387" s="104" t="str">
        <f t="shared" si="623"/>
        <v>Year 9</v>
      </c>
      <c r="L387" s="104" t="str">
        <f t="shared" si="623"/>
        <v>Year 10</v>
      </c>
      <c r="M387" s="104" t="str">
        <f>IF(AND(M388=$AE$5,$O389=9),$AE$3,IF(AND(M388=$AF$5,$O389=9),$AF$3,IF(AND(M388=$AG$5,$O389=9),$AG$3,IF(AND(M388=$AH$5,$O389=9),$AH$3,IF(AND(M388=$AI$5,$O389=9),$AI$3,IF(AND(M388=$AJ$5,$O389=9),$AJ$3,IF(AND(M388=$AK$5,$O389=9),$AK$3,IF(AND(M388=$AL$5,$O389=9),$AL$3,IF(AND(M388=$AM$5,$O389=9),$AM$3,IF(AND(M388=$AN$5,$O389=9),$AN$3,IF(AND(M388=$AO$5,$O389=9),$AO$3,IF(AND(M388=$AP$5,$O389=9),$AP$3,IF(AND(M388=$AQ$5,$O389=9),$AJ$3,IF(AND(M388=$AE$4,$O389=12),$AE$3,IF(AND(M388=$AF$4,$O389=12),$AF$3,IF(AND(M388=$AG$4,$O389=12),$AG$3,IF(AND(M388=$AH$4,$O389=12),$AH$3,IF(AND(M388=$AI$4,$O389=12),$AI$3,IF(AND(M388=$AJ$4,$O389=12),$AJ$3,IF(AND(M388=$AK$4,$O389=12),$AK$3,IF(AND(M388=$AL$4,$O389=12),$AL$3,IF(AND(M388=$AM$4,$O389=12),$AM$3,IF(AND(M388=$AN$4,$O389=12),$AN$3,IF(AND(M388=$AO$4,$O389=12),$AO$3,IF(AND(M388=$AP$4,$O389=12),$AP$3,IF(AND(M388=$AQ$4,$O389=12),$AJ$3," "))))))))))))))))))))))))))</f>
        <v>Year 11</v>
      </c>
      <c r="N387" s="104" t="str">
        <f>IF(AND(N388=$AE$5,$O389=9),$AE$3,IF(AND(N388=$AF$5,$O389=9),$AF$3,IF(AND(N388=$AG$5,$O389=9),$AG$3,IF(AND(N388=$AH$5,$O389=9),$AH$3,IF(AND(N388=$AI$5,$O389=9),$AI$3,IF(AND(N388=$AJ$5,$O389=9),$AJ$3,IF(AND(N388=$AK$5,$O389=9),$AK$3,IF(AND(N388=$AL$5,$O389=9),$AL$3,IF(AND(N388=$AM$5,$O389=9),$AM$3,IF(AND(N388=$AN$5,$O389=9),$AN$3,IF(AND(N388=$AO$5,$O389=9),$AO$3,IF(AND(N388=$AP$5,$O389=9),$AP$3,IF(AND(N388=$AQ$5,$O389=9),$AJ$3,IF(AND(N388=$AE$4,$O389=12),$AE$3,IF(AND(N388=$AF$4,$O389=12),$AF$3,IF(AND(N388=$AG$4,$O389=12),$AG$3,IF(AND(N388=$AH$4,$O389=12),$AH$3,IF(AND(N388=$AI$4,$O389=12),$AI$3,IF(AND(N388=$AJ$4,$O389=12),$AJ$3,IF(AND(N388=$AK$4,$O389=12),$AK$3,IF(AND(N388=$AL$4,$O389=12),$AL$3,IF(AND(N388=$AM$4,$O389=12),$AM$3,IF(AND(N388=$AN$4,$O389=12),$AN$3,IF(AND(N388=$AO$4,$O389=12),$AO$3,IF(AND(N388=$AP$4,$O389=12),$AP$3,IF(AND(N388=$AQ$4,$O389=12),$AJ$3," "))))))))))))))))))))))))))</f>
        <v>Year 12</v>
      </c>
      <c r="O387" s="89"/>
      <c r="P387" s="89"/>
      <c r="Q387" s="89"/>
    </row>
    <row r="388" spans="1:33" x14ac:dyDescent="0.25">
      <c r="A388" s="176" t="str">
        <f>+B354</f>
        <v>Co-PI</v>
      </c>
      <c r="B388" s="55" t="str">
        <f t="shared" ref="B388:I388" si="624">+N$2</f>
        <v>FY2025</v>
      </c>
      <c r="C388" s="55" t="str">
        <f t="shared" si="624"/>
        <v>FY2026</v>
      </c>
      <c r="D388" s="55" t="str">
        <f t="shared" si="624"/>
        <v>FY2027</v>
      </c>
      <c r="E388" s="55" t="str">
        <f t="shared" si="624"/>
        <v>FY2028</v>
      </c>
      <c r="F388" s="55" t="str">
        <f t="shared" si="624"/>
        <v>FY2029</v>
      </c>
      <c r="G388" s="55" t="str">
        <f t="shared" si="624"/>
        <v>FY2030</v>
      </c>
      <c r="H388" s="55" t="str">
        <f t="shared" si="624"/>
        <v>FY2031</v>
      </c>
      <c r="I388" s="55" t="str">
        <f t="shared" si="624"/>
        <v>FY2032</v>
      </c>
      <c r="J388" s="55" t="str">
        <f t="shared" ref="J388" si="625">+V$2</f>
        <v>FY2033</v>
      </c>
      <c r="K388" s="55" t="str">
        <f t="shared" ref="K388" si="626">+W$2</f>
        <v>FY2034</v>
      </c>
      <c r="L388" s="55" t="str">
        <f t="shared" ref="L388" si="627">+X$2</f>
        <v>FY2035</v>
      </c>
      <c r="M388" s="55" t="str">
        <f t="shared" ref="M388:N388" si="628">+Y$2</f>
        <v>FY2036</v>
      </c>
      <c r="N388" s="55" t="str">
        <f t="shared" si="628"/>
        <v>FY2037</v>
      </c>
      <c r="O388" s="32" t="s">
        <v>20</v>
      </c>
      <c r="P388" s="89"/>
      <c r="Q388" s="89"/>
    </row>
    <row r="389" spans="1:33" x14ac:dyDescent="0.25">
      <c r="A389" s="168" t="str">
        <f>CONCATENATE("Base Salary: ",O389," month term")</f>
        <v>Base Salary: 9 month term</v>
      </c>
      <c r="B389" s="383">
        <v>0</v>
      </c>
      <c r="C389" s="384">
        <f t="shared" ref="C389:N389" si="629">ROUND(+B389*(1+(HLOOKUP(C388,FringeAndIDCRates,10,FALSE))),0)</f>
        <v>0</v>
      </c>
      <c r="D389" s="384">
        <f t="shared" si="629"/>
        <v>0</v>
      </c>
      <c r="E389" s="384">
        <f t="shared" si="629"/>
        <v>0</v>
      </c>
      <c r="F389" s="384">
        <f t="shared" si="629"/>
        <v>0</v>
      </c>
      <c r="G389" s="384">
        <f t="shared" si="629"/>
        <v>0</v>
      </c>
      <c r="H389" s="384">
        <f t="shared" si="629"/>
        <v>0</v>
      </c>
      <c r="I389" s="384">
        <f t="shared" si="629"/>
        <v>0</v>
      </c>
      <c r="J389" s="384">
        <f t="shared" si="629"/>
        <v>0</v>
      </c>
      <c r="K389" s="384">
        <f t="shared" si="629"/>
        <v>0</v>
      </c>
      <c r="L389" s="384">
        <f t="shared" si="629"/>
        <v>0</v>
      </c>
      <c r="M389" s="384">
        <f t="shared" si="629"/>
        <v>0</v>
      </c>
      <c r="N389" s="384">
        <f t="shared" si="629"/>
        <v>0</v>
      </c>
      <c r="O389" s="310">
        <v>9</v>
      </c>
      <c r="P389" s="311"/>
      <c r="Q389" s="52"/>
    </row>
    <row r="390" spans="1:33" x14ac:dyDescent="0.25">
      <c r="A390" s="168" t="s">
        <v>44</v>
      </c>
      <c r="B390" s="312">
        <v>0</v>
      </c>
      <c r="C390" s="312">
        <v>0</v>
      </c>
      <c r="D390" s="312">
        <v>0</v>
      </c>
      <c r="E390" s="312">
        <v>0</v>
      </c>
      <c r="F390" s="312">
        <v>0</v>
      </c>
      <c r="G390" s="312">
        <v>0</v>
      </c>
      <c r="H390" s="312">
        <v>0</v>
      </c>
      <c r="I390" s="312">
        <v>0</v>
      </c>
      <c r="J390" s="312">
        <v>0</v>
      </c>
      <c r="K390" s="312">
        <v>0</v>
      </c>
      <c r="L390" s="312">
        <v>0</v>
      </c>
      <c r="M390" s="312">
        <v>0</v>
      </c>
      <c r="N390" s="312">
        <v>0</v>
      </c>
      <c r="O390" s="25"/>
      <c r="P390" s="25"/>
      <c r="Q390" s="164"/>
      <c r="R390" s="42" t="str">
        <f>+O$26</f>
        <v>Graduate Student (Stipend, Tuition, Health Ins)</v>
      </c>
    </row>
    <row r="391" spans="1:33" x14ac:dyDescent="0.25">
      <c r="A391" s="168" t="str">
        <f>CONCATENATE("FTE for ",O389," Months")</f>
        <v>FTE for 9 Months</v>
      </c>
      <c r="B391" s="393">
        <f t="shared" ref="B391:M391" si="630">+B390/$O389</f>
        <v>0</v>
      </c>
      <c r="C391" s="393">
        <f t="shared" si="630"/>
        <v>0</v>
      </c>
      <c r="D391" s="393">
        <f t="shared" si="630"/>
        <v>0</v>
      </c>
      <c r="E391" s="393">
        <f t="shared" si="630"/>
        <v>0</v>
      </c>
      <c r="F391" s="393">
        <f t="shared" si="630"/>
        <v>0</v>
      </c>
      <c r="G391" s="393">
        <f t="shared" si="630"/>
        <v>0</v>
      </c>
      <c r="H391" s="393">
        <f t="shared" si="630"/>
        <v>0</v>
      </c>
      <c r="I391" s="393">
        <f t="shared" si="630"/>
        <v>0</v>
      </c>
      <c r="J391" s="393">
        <f t="shared" si="630"/>
        <v>0</v>
      </c>
      <c r="K391" s="393">
        <f t="shared" si="630"/>
        <v>0</v>
      </c>
      <c r="L391" s="393">
        <f t="shared" si="630"/>
        <v>0</v>
      </c>
      <c r="M391" s="393">
        <f t="shared" si="630"/>
        <v>0</v>
      </c>
      <c r="N391" s="393">
        <f t="shared" ref="N391" si="631">+N390/$O389</f>
        <v>0</v>
      </c>
      <c r="O391" s="89"/>
      <c r="P391" s="89"/>
      <c r="Q391" s="164"/>
      <c r="R391" s="25"/>
      <c r="S391" s="113" t="str">
        <f>+$P$30</f>
        <v>FY2025</v>
      </c>
      <c r="T391" s="113" t="str">
        <f>+$Q$30</f>
        <v>FY2026</v>
      </c>
      <c r="U391" s="113" t="str">
        <f>+$R$30</f>
        <v>FY2027</v>
      </c>
      <c r="V391" s="113" t="str">
        <f>+$S$30</f>
        <v>FY2028</v>
      </c>
      <c r="W391" s="113" t="str">
        <f>+$T$30</f>
        <v>FY2029</v>
      </c>
      <c r="X391" s="113" t="str">
        <f>+$U$30</f>
        <v>FY2030</v>
      </c>
      <c r="Y391" s="113" t="str">
        <f>+$V$30</f>
        <v>FY2031</v>
      </c>
      <c r="Z391" s="113" t="str">
        <f>+$W$30</f>
        <v>FY2032</v>
      </c>
      <c r="AA391" s="113" t="str">
        <f>+$X$30</f>
        <v>FY2033</v>
      </c>
      <c r="AB391" s="113" t="str">
        <f>+$Y$30</f>
        <v>FY2034</v>
      </c>
      <c r="AC391" s="113" t="str">
        <f>+$Z$30</f>
        <v>FY2035</v>
      </c>
      <c r="AD391" s="113" t="str">
        <f>+$AA$30</f>
        <v>FY2036</v>
      </c>
      <c r="AE391" s="113" t="str">
        <f>+$AB$30</f>
        <v>FY2037</v>
      </c>
      <c r="AF391" s="114" t="s">
        <v>101</v>
      </c>
    </row>
    <row r="392" spans="1:33" x14ac:dyDescent="0.25">
      <c r="A392" s="177" t="s">
        <v>56</v>
      </c>
      <c r="B392" s="394">
        <f>+B390/12</f>
        <v>0</v>
      </c>
      <c r="C392" s="394">
        <f>+C390/12</f>
        <v>0</v>
      </c>
      <c r="D392" s="394">
        <f t="shared" ref="D392" si="632">+D390/12</f>
        <v>0</v>
      </c>
      <c r="E392" s="394">
        <f t="shared" ref="E392:L392" si="633">+E390/12</f>
        <v>0</v>
      </c>
      <c r="F392" s="394">
        <f t="shared" si="633"/>
        <v>0</v>
      </c>
      <c r="G392" s="394">
        <f t="shared" si="633"/>
        <v>0</v>
      </c>
      <c r="H392" s="394">
        <f t="shared" si="633"/>
        <v>0</v>
      </c>
      <c r="I392" s="394">
        <f t="shared" si="633"/>
        <v>0</v>
      </c>
      <c r="J392" s="394">
        <f t="shared" si="633"/>
        <v>0</v>
      </c>
      <c r="K392" s="394">
        <f t="shared" si="633"/>
        <v>0</v>
      </c>
      <c r="L392" s="394">
        <f t="shared" si="633"/>
        <v>0</v>
      </c>
      <c r="M392" s="394">
        <f t="shared" ref="M392:N392" si="634">+M390/12</f>
        <v>0</v>
      </c>
      <c r="N392" s="394">
        <f t="shared" si="634"/>
        <v>0</v>
      </c>
      <c r="O392" s="89"/>
      <c r="P392" s="89"/>
      <c r="Q392" s="164"/>
      <c r="R392" s="30" t="s">
        <v>35</v>
      </c>
      <c r="S392" s="101">
        <f>+$P$31</f>
        <v>33930</v>
      </c>
      <c r="T392" s="101">
        <f>IF(ROUND(S392*(1+$AF392),0)=$Q$31,ROUND(S392*(1+$AF392),0),$Q$31)</f>
        <v>35627</v>
      </c>
      <c r="U392" s="101">
        <f t="shared" ref="U392:AE392" si="635">ROUND(T392*(1+$AF392),0)</f>
        <v>37408</v>
      </c>
      <c r="V392" s="101">
        <f t="shared" si="635"/>
        <v>39278</v>
      </c>
      <c r="W392" s="101">
        <f t="shared" si="635"/>
        <v>41242</v>
      </c>
      <c r="X392" s="101">
        <f t="shared" si="635"/>
        <v>43304</v>
      </c>
      <c r="Y392" s="101">
        <f t="shared" si="635"/>
        <v>45469</v>
      </c>
      <c r="Z392" s="101">
        <f t="shared" si="635"/>
        <v>47742</v>
      </c>
      <c r="AA392" s="101">
        <f t="shared" si="635"/>
        <v>50129</v>
      </c>
      <c r="AB392" s="101">
        <f t="shared" si="635"/>
        <v>52635</v>
      </c>
      <c r="AC392" s="101">
        <f t="shared" si="635"/>
        <v>55267</v>
      </c>
      <c r="AD392" s="101">
        <f t="shared" si="635"/>
        <v>58030</v>
      </c>
      <c r="AE392" s="101">
        <f t="shared" si="635"/>
        <v>60932</v>
      </c>
      <c r="AF392" s="31">
        <v>0.05</v>
      </c>
    </row>
    <row r="393" spans="1:33" x14ac:dyDescent="0.25">
      <c r="A393" s="168" t="s">
        <v>21</v>
      </c>
      <c r="B393" s="110">
        <f t="shared" ref="B393:K393" si="636">IF($O389=9,ROUND(B389*B391,0),IF($O389=12,ROUND((B389*B391*$Q$41)+(C389*B391*$Q$42),0),0))</f>
        <v>0</v>
      </c>
      <c r="C393" s="110">
        <f t="shared" si="636"/>
        <v>0</v>
      </c>
      <c r="D393" s="110">
        <f t="shared" si="636"/>
        <v>0</v>
      </c>
      <c r="E393" s="110">
        <f t="shared" si="636"/>
        <v>0</v>
      </c>
      <c r="F393" s="110">
        <f t="shared" si="636"/>
        <v>0</v>
      </c>
      <c r="G393" s="110">
        <f t="shared" si="636"/>
        <v>0</v>
      </c>
      <c r="H393" s="110">
        <f t="shared" si="636"/>
        <v>0</v>
      </c>
      <c r="I393" s="110">
        <f t="shared" si="636"/>
        <v>0</v>
      </c>
      <c r="J393" s="110">
        <f t="shared" si="636"/>
        <v>0</v>
      </c>
      <c r="K393" s="110">
        <f t="shared" si="636"/>
        <v>0</v>
      </c>
      <c r="L393" s="110">
        <f>IF($O389=9,ROUND(L389*L391,0),IF($O389=12,ROUND((L389*L391*$Q$41)+(N389*L391*$Q$42),0),0))</f>
        <v>0</v>
      </c>
      <c r="M393" s="110">
        <f>IF($O389=9,ROUND(M389*M391,0),IF($O389=12,ROUND((M389*M391*$Q$41)+(O389*M391*$Q$42),0),0))</f>
        <v>0</v>
      </c>
      <c r="N393" s="110">
        <f>IF($O389=9,ROUND(N389*N391,0),IF($O389=12,ROUND((N389*N391*$Q$41)+(P389*N391*$Q$42),0),0))</f>
        <v>0</v>
      </c>
      <c r="O393" s="89"/>
      <c r="P393" s="89"/>
      <c r="Q393" s="164"/>
      <c r="R393" s="30" t="s">
        <v>23</v>
      </c>
      <c r="S393" s="101">
        <f>+$P$32</f>
        <v>11310</v>
      </c>
      <c r="T393" s="101">
        <f>IF(ROUND(S393*(1+$AF393),0)=$Q$32,ROUND(S393*(1+$AF393),0),$Q$32)</f>
        <v>11876</v>
      </c>
      <c r="U393" s="101">
        <f t="shared" ref="U393:AE393" si="637">ROUND(T393*(1+$AF393),0)</f>
        <v>12470</v>
      </c>
      <c r="V393" s="101">
        <f t="shared" si="637"/>
        <v>13094</v>
      </c>
      <c r="W393" s="101">
        <f t="shared" si="637"/>
        <v>13749</v>
      </c>
      <c r="X393" s="101">
        <f t="shared" si="637"/>
        <v>14436</v>
      </c>
      <c r="Y393" s="101">
        <f t="shared" si="637"/>
        <v>15158</v>
      </c>
      <c r="Z393" s="101">
        <f t="shared" si="637"/>
        <v>15916</v>
      </c>
      <c r="AA393" s="101">
        <f t="shared" si="637"/>
        <v>16712</v>
      </c>
      <c r="AB393" s="101">
        <f t="shared" si="637"/>
        <v>17548</v>
      </c>
      <c r="AC393" s="101">
        <f t="shared" si="637"/>
        <v>18425</v>
      </c>
      <c r="AD393" s="101">
        <f t="shared" si="637"/>
        <v>19346</v>
      </c>
      <c r="AE393" s="101">
        <f t="shared" si="637"/>
        <v>20313</v>
      </c>
      <c r="AF393" s="66">
        <v>0.05</v>
      </c>
    </row>
    <row r="394" spans="1:33" x14ac:dyDescent="0.25">
      <c r="A394" s="16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89"/>
      <c r="P394" s="89"/>
      <c r="Q394" s="164"/>
      <c r="R394" s="30" t="s">
        <v>30</v>
      </c>
      <c r="S394" s="101">
        <f>+$P$33</f>
        <v>45240</v>
      </c>
      <c r="T394" s="101">
        <f>+T392+T393</f>
        <v>47503</v>
      </c>
      <c r="U394" s="101">
        <f t="shared" ref="U394:AD394" si="638">+U392+U393</f>
        <v>49878</v>
      </c>
      <c r="V394" s="101">
        <f t="shared" si="638"/>
        <v>52372</v>
      </c>
      <c r="W394" s="101">
        <f t="shared" si="638"/>
        <v>54991</v>
      </c>
      <c r="X394" s="101">
        <f t="shared" si="638"/>
        <v>57740</v>
      </c>
      <c r="Y394" s="101">
        <f t="shared" si="638"/>
        <v>60627</v>
      </c>
      <c r="Z394" s="101">
        <f t="shared" si="638"/>
        <v>63658</v>
      </c>
      <c r="AA394" s="101">
        <f t="shared" si="638"/>
        <v>66841</v>
      </c>
      <c r="AB394" s="101">
        <f t="shared" si="638"/>
        <v>70183</v>
      </c>
      <c r="AC394" s="101">
        <f t="shared" si="638"/>
        <v>73692</v>
      </c>
      <c r="AD394" s="101">
        <f t="shared" si="638"/>
        <v>77376</v>
      </c>
      <c r="AE394" s="101">
        <f t="shared" ref="AE394" si="639">+AE392+AE393</f>
        <v>81245</v>
      </c>
      <c r="AF394" s="31"/>
    </row>
    <row r="395" spans="1:33" x14ac:dyDescent="0.25">
      <c r="A395" s="168"/>
      <c r="B395" s="104" t="str">
        <f>IF(B396=$AE$4,$AE$3,IF(B396=$AF$4,$AF$3,IF(B396=$AG$4,$AG$3,IF(B396=$AH$4,$AH$3,IF(B396=$AI$4,$AI$3," ")))))</f>
        <v>Year 1</v>
      </c>
      <c r="C395" s="104" t="str">
        <f>IF(C396=$AE$4,$AE$3,IF(C396=$AF$4,$AF$3,IF(C396=$AG$4,$AG$3,IF(C396=$AH$4,$AH$3,IF(C396=$AI$4,$AI$3," ")))))</f>
        <v>Year 2</v>
      </c>
      <c r="D395" s="104" t="str">
        <f>IF(D396=$AE$4,$AE$3,IF(D396=$AF$4,$AF$3,IF(D396=$AG$4,$AG$3,IF(D396=$AH$4,$AH$3,IF(D396=$AI$4,$AI$3," ")))))</f>
        <v>Year 3</v>
      </c>
      <c r="E395" s="104" t="str">
        <f>IF(E396=$AE$4,$AE$3,IF(E396=$AF$4,$AF$3,IF(E396=$AG$4,$AG$3,IF(E396=$AH$4,$AH$3,IF(E396=$AI$4,$AI$3," ")))))</f>
        <v>Year 4</v>
      </c>
      <c r="F395" s="104" t="str">
        <f>IF(F396=$AE$4,$AE$3,IF(F396=$AF$4,$AF$3,IF(F396=$AG$4,$AG$3,IF(F396=$AH$4,$AH$3,IF(F396=$AI$4,$AI$3," ")))))</f>
        <v>Year 5</v>
      </c>
      <c r="G395" s="104" t="str">
        <f>IF(AND(G396=$AE$5,$O397=9),$AE$3,IF(AND(G396=$AF$5,$O397=9),$AF$3,IF(AND(G396=$AG$5,$O397=9),$AG$3,IF(AND(G396=$AH$5,$O397=9),$AH$3,IF(AND(G396=$AI$5,$O397=9),$AI$3,IF(AND(G396=$AJ$5,$O397=9),$AJ$3,IF(AND(G396=$AK$5,$O397=9),$AK$3,IF(AND(G396=$AL$5,$O397=9),$AL$3,IF(AND(G396=$AM$5,$O397=9),$AM$3,IF(AND(G396=$AN$5,$O397=9),$AJ$3,IF(AND(G396=$AE$4,$O397=12),$AE$3,IF(AND(G396=$AF$4,$O397=12),$AF$3,IF(AND(G396=$AG$4,$O397=12),$AG$3,IF(AND(G396=$AH$4,$O397=12),$AH$3,IF(AND(G396=$AI$4,$O397=12),$AI$3,IF(AND(G396=$AJ$4,$O397=12),$AJ$3,IF(AND(G396=$AK$4,$O397=12),$AK$3,IF(AND(G396=$AL$4,$O397=12),$AL$3,IF(AND(G396=$AM$4,$O397=12),$AM$3,IF(AND(G396=$AN$4,$O397=12),$AN$3,IF(AND(G396=$AP$4,$O397=12),$AJ$3," ")))))))))))))))))))))</f>
        <v>Year 6</v>
      </c>
      <c r="H395" s="104" t="str">
        <f>IF(AND(H396=$AE$5,$O397=9),$AE$3,IF(AND(H396=$AF$5,$O397=9),$AF$3,IF(AND(H396=$AG$5,$O397=9),$AG$3,IF(AND(H396=$AH$5,$O397=9),$AH$3,IF(AND(H396=$AI$5,$O397=9),$AI$3,IF(AND(H396=$AJ$5,$O397=9),$AJ$3,IF(AND(H396=$AK$5,$O397=9),$AK$3,IF(AND(H396=$AL$5,$O397=9),$AL$3,IF(AND(H396=$AM$5,$O397=9),$AM$3,IF(AND(H396=$AN$5,$O397=9),$AJ$3,IF(AND(H396=$AE$4,$O397=12),$AE$3,IF(AND(H396=$AF$4,$O397=12),$AF$3,IF(AND(H396=$AG$4,$O397=12),$AG$3,IF(AND(H396=$AH$4,$O397=12),$AH$3,IF(AND(H396=$AI$4,$O397=12),$AI$3,IF(AND(H396=$AJ$4,$O397=12),$AJ$3,IF(AND(H396=$AK$4,$O397=12),$AK$3,IF(AND(H396=$AL$4,$O397=12),$AL$3,IF(AND(H396=$AM$4,$O397=12),$AM$3,IF(AND(H396=$AN$4,$O397=12),$AJ$3," "))))))))))))))))))))</f>
        <v>Year 7</v>
      </c>
      <c r="I395" s="104" t="str">
        <f>IF(AND(I396=$AE$5,$O397=9),$AE$3,IF(AND(I396=$AF$5,$O397=9),$AF$3,IF(AND(I396=$AG$5,$O397=9),$AG$3,IF(AND(I396=$AH$5,$O397=9),$AH$3,IF(AND(I396=$AI$5,$O397=9),$AI$3,IF(AND(I396=$AJ$5,$O397=9),$AJ$3,IF(AND(I396=$AK$5,$O397=9),$AK$3,IF(AND(I396=$AL$5,$O397=9),$AL$3,IF(AND(I396=$AM$5,$O397=9),$AM$3,IF(AND(I396=$AN$5,$O397=9),$AJ$3,IF(AND(I396=$AE$4,$O397=12),$AE$3,IF(AND(I396=$AF$4,$O397=12),$AF$3,IF(AND(I396=$AG$4,$O397=12),$AG$3,IF(AND(I396=$AH$4,$O397=12),$AH$3,IF(AND(I396=$AI$4,$O397=12),$AI$3,IF(AND(I396=$AJ$4,$O397=12),$AJ$3,IF(AND(I396=$AK$4,$O397=12),$AK$3,IF(AND(I396=$AL$4,$O397=12),$AL$3,IF(AND(I396=$AM$4,$O397=12),$AM$3,IF(AND(I396=$AN$4,$O397=12),$AJ$3," "))))))))))))))))))))</f>
        <v>Year 8</v>
      </c>
      <c r="J395" s="104" t="str">
        <f>IF(AND(J396=$AE$5,$O397=9),$AE$3,IF(AND(J396=$AF$5,$O397=9),$AF$3,IF(AND(J396=$AG$5,$O397=9),$AG$3,IF(AND(J396=$AH$5,$O397=9),$AH$3,IF(AND(J396=$AI$5,$O397=9),$AI$3,IF(AND(J396=$AJ$5,$O397=9),$AJ$3,IF(AND(J396=$AK$5,$O397=9),$AK$3,IF(AND(J396=$AL$5,$O397=9),$AL$3,IF(AND(J396=$AM$5,$O397=9),$AM$3,IF(AND(J396=$AN$5,$O397=9),$AJ$3,IF(AND(J396=$AE$4,$O397=12),$AE$3,IF(AND(J396=$AF$4,$O397=12),$AF$3,IF(AND(J396=$AG$4,$O397=12),$AG$3,IF(AND(J396=$AH$4,$O397=12),$AH$3,IF(AND(J396=$AI$4,$O397=12),$AI$3,IF(AND(J396=$AJ$4,$O397=12),$AJ$3,IF(AND(J396=$AK$4,$O397=12),$AK$3,IF(AND(J396=$AL$4,$O397=12),$AL$3,IF(AND(J396=$AM$4,$O397=12),$AM$3,IF(AND(J396=$AN$4,$O397=12),$AJ$3," "))))))))))))))))))))</f>
        <v>Year 9</v>
      </c>
      <c r="K395" s="104" t="str">
        <f>IF(AND(K396=$AE$5,$O397=9),$AE$3,IF(AND(K396=$AF$5,$O397=9),$AF$3,IF(AND(K396=$AG$5,$O397=9),$AG$3,IF(AND(K396=$AH$5,$O397=9),$AH$3,IF(AND(K396=$AI$5,$O397=9),$AI$3,IF(AND(K396=$AJ$5,$O397=9),$AJ$3,IF(AND(K396=$AK$5,$O397=9),$AK$3,IF(AND(K396=$AL$5,$O397=9),$AL$3,IF(AND(K396=$AM$5,$O397=9),$AM$3,IF(AND(K396=$AN$5,$O397=9),$AJ$3,IF(AND(K396=$AE$4,$O397=12),$AE$3,IF(AND(K396=$AF$4,$O397=12),$AF$3,IF(AND(K396=$AG$4,$O397=12),$AG$3,IF(AND(K396=$AH$4,$O397=12),$AH$3,IF(AND(K396=$AI$4,$O397=12),$AI$3,IF(AND(K396=$AJ$4,$O397=12),$AJ$3,IF(AND(K396=$AK$4,$O397=12),$AK$3,IF(AND(K396=$AL$4,$O397=12),$AL$3,IF(AND(K396=$AM$4,$O397=12),$AM$3,IF(AND(K396=$AN$4,$O397=12),$AN$3,IF(AND(K396=$AP$4,$O397=12),$AJ$3," ")))))))))))))))))))))</f>
        <v>Year 10</v>
      </c>
      <c r="L395" s="104" t="str">
        <f>IF(AND(L396=$AE$5,$O397=9),$AE$3,IF(AND(L396=$AF$5,$O397=9),$AF$3,IF(AND(L396=$AG$5,$O397=9),$AG$3,IF(AND(L396=$AH$5,$O397=9),$AH$3,IF(AND(L396=$AI$5,$O397=9),$AI$3,IF(AND(L396=$AJ$5,$O397=9),$AJ$3,IF(AND(L396=$AK$5,$O397=9),$AK$3,IF(AND(L396=$AL$5,$O397=9),$AL$3,IF(AND(L396=$AM$5,$O397=9),$AM$3,IF(AND(L396=$AN$5,$O397=9),$AN$3,IF(AND(L396=$AO$5,$O397=9),$AO$3,IF(AND(L396=$AP$5,$O397=9),$AJ$3,IF(AND(L396=$AE$4,$O397=12),$AE$3,IF(AND(L396=$AF$4,$O397=12),$AF$3,IF(AND(L396=$AG$4,$O397=12),$AG$3,IF(AND(L396=$AH$4,$O397=12),$AH$3,IF(AND(L396=$AI$4,$O397=12),$AI$3,IF(AND(L396=$AJ$4,$O397=12),$AJ$3,IF(AND(L396=$AK$4,$O397=12),$AK$3,IF(AND(L396=$AL$4,$O397=12),$AL$3,IF(AND(L396=$AM$4,$O397=12),$AM$3,IF(AND(L396=$AN$4,$O397=12),$AN$3,IF(AND(L396=$AO$4,$O397=12),$AO$3,IF(AND(L396=$AP$4,$O397=12),$AJ$3," "))))))))))))))))))))))))</f>
        <v>Year 11</v>
      </c>
      <c r="M395" s="104" t="str">
        <f>IF(AND(M396=$AE$5,$O397=9),$AE$3,IF(AND(M396=$AF$5,$O397=9),$AF$3,IF(AND(M396=$AG$5,$O397=9),$AG$3,IF(AND(M396=$AH$5,$O397=9),$AH$3,IF(AND(M396=$AI$5,$O397=9),$AI$3,IF(AND(M396=$AJ$5,$O397=9),$AJ$3,IF(AND(M396=$AK$5,$O397=9),$AK$3,IF(AND(M396=$AL$5,$O397=9),$AL$3,IF(AND(M396=$AM$5,$O397=9),$AM$3,IF(AND(M396=$AN$5,$O397=9),$AN$3,IF(AND(M396=$AO$5,$O397=9),$AO$3,IF(AND(M396=$AP$5,$O397=9),$AJ$3,IF(AND(M396=$AE$4,$O397=12),$AE$3,IF(AND(M396=$AF$4,$O397=12),$AF$3,IF(AND(M396=$AG$4,$O397=12),$AG$3,IF(AND(M396=$AH$4,$O397=12),$AH$3,IF(AND(M396=$AI$4,$O397=12),$AI$3,IF(AND(M396=$AJ$4,$O397=12),$AJ$3,IF(AND(M396=$AK$4,$O397=12),$AK$3,IF(AND(M396=$AL$4,$O397=12),$AL$3,IF(AND(M396=$AM$4,$O397=12),$AM$3,IF(AND(M396=$AN$4,$O397=12),$AN$3,IF(AND(M396=$AO$4,$O397=12),$AO$3,IF(AND(M396=$AP$4,$O397=12),$AJ$3," "))))))))))))))))))))))))</f>
        <v>Year 6</v>
      </c>
      <c r="N395" s="104"/>
      <c r="O395" s="89"/>
      <c r="P395" s="89"/>
      <c r="Q395" s="164"/>
      <c r="R395" s="30" t="s">
        <v>8</v>
      </c>
      <c r="S395" s="101">
        <f>IF(B355="Contract College",P$34,P$35)</f>
        <v>10400</v>
      </c>
      <c r="T395" s="101">
        <f t="shared" ref="T395:AE395" si="640">IF(C355="Contract College",Q$34,Q$35)</f>
        <v>10400</v>
      </c>
      <c r="U395" s="101">
        <f t="shared" si="640"/>
        <v>10400</v>
      </c>
      <c r="V395" s="101">
        <f t="shared" si="640"/>
        <v>10400</v>
      </c>
      <c r="W395" s="101">
        <f t="shared" si="640"/>
        <v>10400</v>
      </c>
      <c r="X395" s="101">
        <f t="shared" si="640"/>
        <v>10400</v>
      </c>
      <c r="Y395" s="101">
        <f t="shared" si="640"/>
        <v>10400</v>
      </c>
      <c r="Z395" s="101">
        <f t="shared" si="640"/>
        <v>10400</v>
      </c>
      <c r="AA395" s="101">
        <f t="shared" si="640"/>
        <v>10400</v>
      </c>
      <c r="AB395" s="101">
        <f t="shared" si="640"/>
        <v>10400</v>
      </c>
      <c r="AC395" s="101">
        <f t="shared" si="640"/>
        <v>10400</v>
      </c>
      <c r="AD395" s="101">
        <f t="shared" si="640"/>
        <v>10400</v>
      </c>
      <c r="AE395" s="101">
        <f t="shared" si="640"/>
        <v>10400</v>
      </c>
      <c r="AF395" s="31">
        <v>0</v>
      </c>
      <c r="AG395" t="s">
        <v>204</v>
      </c>
    </row>
    <row r="396" spans="1:33" x14ac:dyDescent="0.25">
      <c r="A396" s="176" t="s">
        <v>102</v>
      </c>
      <c r="B396" s="55" t="str">
        <f t="shared" ref="B396:I396" si="641">+N$2</f>
        <v>FY2025</v>
      </c>
      <c r="C396" s="55" t="str">
        <f t="shared" si="641"/>
        <v>FY2026</v>
      </c>
      <c r="D396" s="55" t="str">
        <f t="shared" si="641"/>
        <v>FY2027</v>
      </c>
      <c r="E396" s="55" t="str">
        <f t="shared" si="641"/>
        <v>FY2028</v>
      </c>
      <c r="F396" s="55" t="str">
        <f t="shared" si="641"/>
        <v>FY2029</v>
      </c>
      <c r="G396" s="55" t="str">
        <f t="shared" si="641"/>
        <v>FY2030</v>
      </c>
      <c r="H396" s="55" t="str">
        <f t="shared" si="641"/>
        <v>FY2031</v>
      </c>
      <c r="I396" s="55" t="str">
        <f t="shared" si="641"/>
        <v>FY2032</v>
      </c>
      <c r="J396" s="55" t="str">
        <f t="shared" ref="J396" si="642">+V$2</f>
        <v>FY2033</v>
      </c>
      <c r="K396" s="55" t="str">
        <f t="shared" ref="K396:M396" si="643">+W$2</f>
        <v>FY2034</v>
      </c>
      <c r="L396" s="55" t="str">
        <f t="shared" si="643"/>
        <v>FY2035</v>
      </c>
      <c r="M396" s="55" t="str">
        <f t="shared" si="643"/>
        <v>FY2036</v>
      </c>
      <c r="N396" s="55"/>
      <c r="O396" s="32" t="s">
        <v>20</v>
      </c>
      <c r="P396" s="89"/>
      <c r="Q396" s="164"/>
      <c r="R396" s="30" t="s">
        <v>24</v>
      </c>
      <c r="S396" s="101">
        <f>+$P$36</f>
        <v>4378</v>
      </c>
      <c r="T396" s="101">
        <f>IF(ROUND(S396*(1+$AF396),0)=$Q$36,ROUND(S396*(1+$AF396),0),$Q$36)</f>
        <v>4816</v>
      </c>
      <c r="U396" s="101">
        <f t="shared" ref="U396:AE396" si="644">ROUND(T396*(1+$AF396),0)</f>
        <v>5298</v>
      </c>
      <c r="V396" s="101">
        <f t="shared" si="644"/>
        <v>5828</v>
      </c>
      <c r="W396" s="101">
        <f t="shared" si="644"/>
        <v>6411</v>
      </c>
      <c r="X396" s="101">
        <f t="shared" si="644"/>
        <v>7052</v>
      </c>
      <c r="Y396" s="101">
        <f t="shared" si="644"/>
        <v>7757</v>
      </c>
      <c r="Z396" s="101">
        <f t="shared" si="644"/>
        <v>8533</v>
      </c>
      <c r="AA396" s="101">
        <f t="shared" si="644"/>
        <v>9386</v>
      </c>
      <c r="AB396" s="101">
        <f t="shared" si="644"/>
        <v>10325</v>
      </c>
      <c r="AC396" s="101">
        <f t="shared" si="644"/>
        <v>11358</v>
      </c>
      <c r="AD396" s="101">
        <f t="shared" si="644"/>
        <v>12494</v>
      </c>
      <c r="AE396" s="101">
        <f t="shared" si="644"/>
        <v>13743</v>
      </c>
      <c r="AF396" s="31">
        <v>0.1</v>
      </c>
    </row>
    <row r="397" spans="1:33" x14ac:dyDescent="0.25">
      <c r="A397" s="168" t="str">
        <f>CONCATENATE("Base Salary: ",O397," month term")</f>
        <v>Base Salary: 12 month term</v>
      </c>
      <c r="B397" s="62">
        <f>PostdocMinRate</f>
        <v>61008</v>
      </c>
      <c r="C397" s="440">
        <f t="shared" ref="C397:M397" si="645">ROUND(+B397*(1+(HLOOKUP(C396,FringeAndIDCRates,11,FALSE))),0)</f>
        <v>63143</v>
      </c>
      <c r="D397" s="440">
        <f t="shared" si="645"/>
        <v>65227</v>
      </c>
      <c r="E397" s="440">
        <f t="shared" si="645"/>
        <v>67184</v>
      </c>
      <c r="F397" s="440">
        <f t="shared" si="645"/>
        <v>69200</v>
      </c>
      <c r="G397" s="440">
        <f t="shared" si="645"/>
        <v>71276</v>
      </c>
      <c r="H397" s="440">
        <f t="shared" si="645"/>
        <v>73414</v>
      </c>
      <c r="I397" s="440">
        <f t="shared" si="645"/>
        <v>75616</v>
      </c>
      <c r="J397" s="440">
        <f t="shared" si="645"/>
        <v>77884</v>
      </c>
      <c r="K397" s="440">
        <f t="shared" si="645"/>
        <v>80221</v>
      </c>
      <c r="L397" s="440">
        <f t="shared" si="645"/>
        <v>82628</v>
      </c>
      <c r="M397" s="440">
        <f t="shared" si="645"/>
        <v>85107</v>
      </c>
      <c r="N397" s="109"/>
      <c r="O397" s="317">
        <v>12</v>
      </c>
      <c r="P397" s="318"/>
      <c r="Q397" s="164"/>
      <c r="Y397" s="23"/>
    </row>
    <row r="398" spans="1:33" x14ac:dyDescent="0.25">
      <c r="A398" s="168" t="s">
        <v>44</v>
      </c>
      <c r="B398" s="312">
        <v>0</v>
      </c>
      <c r="C398" s="312">
        <v>0</v>
      </c>
      <c r="D398" s="312">
        <v>0</v>
      </c>
      <c r="E398" s="312">
        <v>0</v>
      </c>
      <c r="F398" s="312">
        <v>0</v>
      </c>
      <c r="G398" s="312">
        <v>0</v>
      </c>
      <c r="H398" s="312">
        <v>0</v>
      </c>
      <c r="I398" s="312">
        <v>0</v>
      </c>
      <c r="J398" s="312">
        <v>0</v>
      </c>
      <c r="K398" s="312">
        <v>0</v>
      </c>
      <c r="L398" s="312">
        <v>0</v>
      </c>
      <c r="M398" s="312">
        <v>0</v>
      </c>
      <c r="N398" s="400"/>
      <c r="O398" s="25"/>
      <c r="P398" s="25"/>
      <c r="Q398" s="164"/>
      <c r="Y398" s="23"/>
    </row>
    <row r="399" spans="1:33" x14ac:dyDescent="0.25">
      <c r="A399" s="168" t="str">
        <f>CONCATENATE("FTE for ",O397," Months")</f>
        <v>FTE for 12 Months</v>
      </c>
      <c r="B399" s="393">
        <f t="shared" ref="B399:L399" si="646">+B398/$O397</f>
        <v>0</v>
      </c>
      <c r="C399" s="393">
        <f t="shared" si="646"/>
        <v>0</v>
      </c>
      <c r="D399" s="393">
        <f t="shared" si="646"/>
        <v>0</v>
      </c>
      <c r="E399" s="393">
        <f t="shared" si="646"/>
        <v>0</v>
      </c>
      <c r="F399" s="393">
        <f t="shared" si="646"/>
        <v>0</v>
      </c>
      <c r="G399" s="393">
        <f t="shared" si="646"/>
        <v>0</v>
      </c>
      <c r="H399" s="393">
        <f t="shared" si="646"/>
        <v>0</v>
      </c>
      <c r="I399" s="393">
        <f t="shared" si="646"/>
        <v>0</v>
      </c>
      <c r="J399" s="393">
        <f t="shared" si="646"/>
        <v>0</v>
      </c>
      <c r="K399" s="393">
        <f t="shared" si="646"/>
        <v>0</v>
      </c>
      <c r="L399" s="393">
        <f t="shared" si="646"/>
        <v>0</v>
      </c>
      <c r="M399" s="393">
        <f t="shared" ref="M399" si="647">+M398/$O397</f>
        <v>0</v>
      </c>
      <c r="N399" s="401"/>
      <c r="O399" s="89"/>
      <c r="P399" s="89"/>
      <c r="Q399" s="164"/>
      <c r="S399" s="53" t="str">
        <f t="shared" ref="S399:AC399" si="648">+S318</f>
        <v>Spring 2025</v>
      </c>
      <c r="T399" s="53" t="str">
        <f t="shared" si="648"/>
        <v>Spring 2026</v>
      </c>
      <c r="U399" s="53" t="str">
        <f t="shared" si="648"/>
        <v>Spring 2027</v>
      </c>
      <c r="V399" s="53" t="str">
        <f t="shared" si="648"/>
        <v>Spring 2028</v>
      </c>
      <c r="W399" s="53" t="str">
        <f t="shared" si="648"/>
        <v>Spring 2029</v>
      </c>
      <c r="X399" s="53" t="str">
        <f t="shared" si="648"/>
        <v>Spring 2030</v>
      </c>
      <c r="Y399" s="53" t="str">
        <f t="shared" si="648"/>
        <v>Spring 2031</v>
      </c>
      <c r="Z399" s="53" t="str">
        <f t="shared" si="648"/>
        <v>Spring 2032</v>
      </c>
      <c r="AA399" s="53" t="str">
        <f t="shared" si="648"/>
        <v>Spring 2033</v>
      </c>
      <c r="AB399" s="53" t="str">
        <f t="shared" si="648"/>
        <v>Spring 2034</v>
      </c>
      <c r="AC399" s="53" t="str">
        <f t="shared" si="648"/>
        <v>Spring 2035</v>
      </c>
      <c r="AD399" s="53" t="str">
        <f t="shared" ref="AD399" si="649">+AD318</f>
        <v>Spring 2036</v>
      </c>
    </row>
    <row r="400" spans="1:33" x14ac:dyDescent="0.25">
      <c r="A400" s="168" t="s">
        <v>21</v>
      </c>
      <c r="B400" s="110">
        <f t="shared" ref="B400:K400" si="650">ROUND((B397*B399*$Q$41)+(C397*B399*$Q$42),0)</f>
        <v>0</v>
      </c>
      <c r="C400" s="110">
        <f t="shared" si="650"/>
        <v>0</v>
      </c>
      <c r="D400" s="110">
        <f t="shared" si="650"/>
        <v>0</v>
      </c>
      <c r="E400" s="110">
        <f t="shared" si="650"/>
        <v>0</v>
      </c>
      <c r="F400" s="110">
        <f t="shared" si="650"/>
        <v>0</v>
      </c>
      <c r="G400" s="110">
        <f t="shared" si="650"/>
        <v>0</v>
      </c>
      <c r="H400" s="110">
        <f t="shared" si="650"/>
        <v>0</v>
      </c>
      <c r="I400" s="110">
        <f t="shared" si="650"/>
        <v>0</v>
      </c>
      <c r="J400" s="110">
        <f t="shared" si="650"/>
        <v>0</v>
      </c>
      <c r="K400" s="110">
        <f t="shared" si="650"/>
        <v>0</v>
      </c>
      <c r="L400" s="110">
        <f>ROUND((L397*L399*$Q$41)+(N397*L399*$Q$42),0)</f>
        <v>0</v>
      </c>
      <c r="M400" s="110">
        <f>ROUND((M397*M399*$Q$41)+(O397*M399*$Q$42),0)</f>
        <v>0</v>
      </c>
      <c r="N400" s="402"/>
      <c r="O400" s="89"/>
      <c r="P400" s="89"/>
      <c r="Q400" s="179"/>
      <c r="S400" s="53" t="str">
        <f t="shared" ref="S400:AC400" si="651">+S319</f>
        <v>Summer 2025</v>
      </c>
      <c r="T400" s="53" t="str">
        <f t="shared" si="651"/>
        <v>Summer 2026</v>
      </c>
      <c r="U400" s="53" t="str">
        <f t="shared" si="651"/>
        <v>Summer 2027</v>
      </c>
      <c r="V400" s="53" t="str">
        <f t="shared" si="651"/>
        <v>Summer 2028</v>
      </c>
      <c r="W400" s="53" t="str">
        <f t="shared" si="651"/>
        <v>Summer 2029</v>
      </c>
      <c r="X400" s="53" t="str">
        <f t="shared" si="651"/>
        <v>Summer 2030</v>
      </c>
      <c r="Y400" s="53" t="str">
        <f t="shared" si="651"/>
        <v>Summer 2031</v>
      </c>
      <c r="Z400" s="53" t="str">
        <f t="shared" si="651"/>
        <v>Summer 2032</v>
      </c>
      <c r="AA400" s="53" t="str">
        <f t="shared" si="651"/>
        <v>Summer 2033</v>
      </c>
      <c r="AB400" s="53" t="str">
        <f t="shared" si="651"/>
        <v>Summer 2034</v>
      </c>
      <c r="AC400" s="53" t="str">
        <f t="shared" si="651"/>
        <v>Summer 2035</v>
      </c>
      <c r="AD400" s="53" t="str">
        <f t="shared" ref="AD400" si="652">+AD319</f>
        <v>Summer 2036</v>
      </c>
    </row>
    <row r="401" spans="1:30" x14ac:dyDescent="0.25">
      <c r="A401" s="168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6"/>
      <c r="P401" s="26"/>
      <c r="Q401" s="180"/>
      <c r="S401" s="53" t="str">
        <f t="shared" ref="S401:AC401" si="653">+S320</f>
        <v>Fall 2025</v>
      </c>
      <c r="T401" s="53" t="str">
        <f t="shared" si="653"/>
        <v>Fall 2026</v>
      </c>
      <c r="U401" s="53" t="str">
        <f t="shared" si="653"/>
        <v>Fall 2027</v>
      </c>
      <c r="V401" s="53" t="str">
        <f t="shared" si="653"/>
        <v>Fall 2028</v>
      </c>
      <c r="W401" s="53" t="str">
        <f t="shared" si="653"/>
        <v>Fall 2029</v>
      </c>
      <c r="X401" s="53" t="str">
        <f t="shared" si="653"/>
        <v>Fall 2030</v>
      </c>
      <c r="Y401" s="53" t="str">
        <f t="shared" si="653"/>
        <v>Fall 2031</v>
      </c>
      <c r="Z401" s="53" t="str">
        <f t="shared" si="653"/>
        <v>Fall 2032</v>
      </c>
      <c r="AA401" s="53" t="str">
        <f t="shared" si="653"/>
        <v>Fall 2033</v>
      </c>
      <c r="AB401" s="53" t="str">
        <f t="shared" si="653"/>
        <v>Fall 2034</v>
      </c>
      <c r="AC401" s="53" t="str">
        <f t="shared" si="653"/>
        <v>Fall 2035</v>
      </c>
      <c r="AD401" s="53" t="str">
        <f t="shared" ref="AD401" si="654">+AD320</f>
        <v>Fall 2036</v>
      </c>
    </row>
    <row r="402" spans="1:30" x14ac:dyDescent="0.25">
      <c r="A402" s="168"/>
      <c r="B402" s="104" t="str">
        <f t="shared" ref="B402:L402" si="655">IF(AND(B403=$AE$5,$O404=9),$AE$3,IF(AND(B403=$AF$5,$O404=9),$AF$3,IF(AND(B403=$AG$5,$O404=9),$AG$3,IF(AND(B403=$AH$5,$O404=9),$AH$3,IF(AND(B403=$AI$5,$O404=9),$AI$3,IF(AND(B403=$AJ$5,$O404=9),$AJ$3,IF(AND(B403=$AK$5,$O404=9),$AK$3,IF(AND(B403=$AL$5,$O404=9),$AL$3,IF(AND(B403=$AM$5,$O404=9),$AM$3,IF(AND(B403=$AN$5,$O404=9),$AN$3,IF(AND(B403=$AO$5,$O404=9),$AO$3,IF(AND(B403=$AP$5,$O404=9),$AJ$3,IF(AND(B403=$AE$4,$O404=12),$AE$3,IF(AND(B403=$AF$4,$O404=12),$AF$3,IF(AND(B403=$AG$4,$O404=12),$AG$3,IF(AND(B403=$AH$4,$O404=12),$AH$3,IF(AND(B403=$AI$4,$O404=12),$AI$3,IF(AND(B403=$AJ$4,$O404=12),$AJ$3,IF(AND(B403=$AK$4,$O404=12),$AK$3,IF(AND(B403=$AL$4,$O404=12),$AL$3,IF(AND(B403=$AM$4,$O404=12),$AM$3,IF(AND(B403=$AN$4,$O404=12),$AN$3,IF(AND(B403=$AO$4,$O404=12),$AO$3,IF(AND(B403=$AP$4,$O404=12),$AJ$3," "))))))))))))))))))))))))</f>
        <v>Year 1</v>
      </c>
      <c r="C402" s="104" t="str">
        <f t="shared" si="655"/>
        <v>Year 2</v>
      </c>
      <c r="D402" s="104" t="str">
        <f t="shared" si="655"/>
        <v>Year 3</v>
      </c>
      <c r="E402" s="104" t="str">
        <f t="shared" si="655"/>
        <v>Year 4</v>
      </c>
      <c r="F402" s="104" t="str">
        <f t="shared" si="655"/>
        <v>Year 5</v>
      </c>
      <c r="G402" s="104" t="str">
        <f t="shared" si="655"/>
        <v>Year 6</v>
      </c>
      <c r="H402" s="104" t="str">
        <f t="shared" si="655"/>
        <v>Year 7</v>
      </c>
      <c r="I402" s="104" t="str">
        <f t="shared" si="655"/>
        <v>Year 8</v>
      </c>
      <c r="J402" s="104" t="str">
        <f t="shared" si="655"/>
        <v>Year 9</v>
      </c>
      <c r="K402" s="104" t="str">
        <f t="shared" si="655"/>
        <v>Year 10</v>
      </c>
      <c r="L402" s="104" t="str">
        <f t="shared" si="655"/>
        <v>Year 11</v>
      </c>
      <c r="M402" s="104" t="str">
        <f t="shared" ref="M402" si="656">IF(AND(M403=$AE$5,$O404=9),$AE$3,IF(AND(M403=$AF$5,$O404=9),$AF$3,IF(AND(M403=$AG$5,$O404=9),$AG$3,IF(AND(M403=$AH$5,$O404=9),$AH$3,IF(AND(M403=$AI$5,$O404=9),$AI$3,IF(AND(M403=$AJ$5,$O404=9),$AJ$3,IF(AND(M403=$AK$5,$O404=9),$AK$3,IF(AND(M403=$AL$5,$O404=9),$AL$3,IF(AND(M403=$AM$5,$O404=9),$AM$3,IF(AND(M403=$AN$5,$O404=9),$AN$3,IF(AND(M403=$AO$5,$O404=9),$AO$3,IF(AND(M403=$AP$5,$O404=9),$AJ$3,IF(AND(M403=$AE$4,$O404=12),$AE$3,IF(AND(M403=$AF$4,$O404=12),$AF$3,IF(AND(M403=$AG$4,$O404=12),$AG$3,IF(AND(M403=$AH$4,$O404=12),$AH$3,IF(AND(M403=$AI$4,$O404=12),$AI$3,IF(AND(M403=$AJ$4,$O404=12),$AJ$3,IF(AND(M403=$AK$4,$O404=12),$AK$3,IF(AND(M403=$AL$4,$O404=12),$AL$3,IF(AND(M403=$AM$4,$O404=12),$AM$3,IF(AND(M403=$AN$4,$O404=12),$AN$3,IF(AND(M403=$AO$4,$O404=12),$AO$3,IF(AND(M403=$AP$4,$O404=12),$AJ$3," "))))))))))))))))))))))))</f>
        <v>Year 6</v>
      </c>
      <c r="N402" s="104"/>
      <c r="O402" s="26"/>
      <c r="P402" s="26"/>
      <c r="Q402" s="180"/>
      <c r="S402" s="34" t="str">
        <f t="shared" ref="S402:AC402" si="657">+S321</f>
        <v>FY2025&amp;26</v>
      </c>
      <c r="T402" s="34" t="str">
        <f t="shared" si="657"/>
        <v>FY2026&amp;27</v>
      </c>
      <c r="U402" s="34" t="str">
        <f t="shared" si="657"/>
        <v>FY2027&amp;28</v>
      </c>
      <c r="V402" s="34" t="str">
        <f t="shared" si="657"/>
        <v>FY2028&amp;29</v>
      </c>
      <c r="W402" s="34" t="str">
        <f t="shared" si="657"/>
        <v>FY2029&amp;30</v>
      </c>
      <c r="X402" s="34" t="str">
        <f t="shared" si="657"/>
        <v>FY2030&amp;31</v>
      </c>
      <c r="Y402" s="34" t="str">
        <f t="shared" si="657"/>
        <v>FY2031&amp;32</v>
      </c>
      <c r="Z402" s="34" t="str">
        <f t="shared" si="657"/>
        <v>FY2032&amp;33</v>
      </c>
      <c r="AA402" s="34" t="str">
        <f t="shared" si="657"/>
        <v>FY2033&amp;34</v>
      </c>
      <c r="AB402" s="34" t="str">
        <f t="shared" si="657"/>
        <v>FY2034&amp;35</v>
      </c>
      <c r="AC402" s="34" t="str">
        <f t="shared" si="657"/>
        <v>FY2035&amp;36</v>
      </c>
      <c r="AD402" s="34" t="str">
        <f t="shared" ref="AD402" si="658">+AD321</f>
        <v>FY2036&amp;</v>
      </c>
    </row>
    <row r="403" spans="1:30" ht="15.75" thickBot="1" x14ac:dyDescent="0.3">
      <c r="A403" s="176" t="s">
        <v>74</v>
      </c>
      <c r="B403" s="55" t="str">
        <f t="shared" ref="B403:I403" si="659">+N$2</f>
        <v>FY2025</v>
      </c>
      <c r="C403" s="55" t="str">
        <f t="shared" si="659"/>
        <v>FY2026</v>
      </c>
      <c r="D403" s="55" t="str">
        <f t="shared" si="659"/>
        <v>FY2027</v>
      </c>
      <c r="E403" s="55" t="str">
        <f t="shared" si="659"/>
        <v>FY2028</v>
      </c>
      <c r="F403" s="55" t="str">
        <f t="shared" si="659"/>
        <v>FY2029</v>
      </c>
      <c r="G403" s="55" t="str">
        <f t="shared" si="659"/>
        <v>FY2030</v>
      </c>
      <c r="H403" s="55" t="str">
        <f t="shared" si="659"/>
        <v>FY2031</v>
      </c>
      <c r="I403" s="55" t="str">
        <f t="shared" si="659"/>
        <v>FY2032</v>
      </c>
      <c r="J403" s="55" t="str">
        <f t="shared" ref="J403" si="660">+V$2</f>
        <v>FY2033</v>
      </c>
      <c r="K403" s="55" t="str">
        <f t="shared" ref="K403:M403" si="661">+W$2</f>
        <v>FY2034</v>
      </c>
      <c r="L403" s="55" t="str">
        <f t="shared" si="661"/>
        <v>FY2035</v>
      </c>
      <c r="M403" s="55" t="str">
        <f t="shared" si="661"/>
        <v>FY2036</v>
      </c>
      <c r="N403" s="55"/>
      <c r="O403" s="32" t="s">
        <v>20</v>
      </c>
      <c r="P403" s="89"/>
      <c r="Q403" s="179"/>
      <c r="R403" s="35" t="s">
        <v>71</v>
      </c>
      <c r="S403" s="50" t="s">
        <v>1</v>
      </c>
      <c r="T403" s="51" t="s">
        <v>2</v>
      </c>
      <c r="U403" s="51" t="s">
        <v>3</v>
      </c>
      <c r="V403" s="51" t="s">
        <v>39</v>
      </c>
      <c r="W403" s="51" t="s">
        <v>45</v>
      </c>
      <c r="X403" s="51" t="s">
        <v>183</v>
      </c>
      <c r="Y403" s="51" t="s">
        <v>184</v>
      </c>
      <c r="Z403" s="51" t="s">
        <v>185</v>
      </c>
      <c r="AA403" s="51" t="s">
        <v>186</v>
      </c>
      <c r="AB403" s="51" t="s">
        <v>187</v>
      </c>
      <c r="AC403" s="51" t="s">
        <v>188</v>
      </c>
      <c r="AD403" s="51" t="s">
        <v>189</v>
      </c>
    </row>
    <row r="404" spans="1:30" x14ac:dyDescent="0.25">
      <c r="A404" s="168" t="str">
        <f>CONCATENATE("Base Salary: ",O404," month term")</f>
        <v>Base Salary: 12 month term</v>
      </c>
      <c r="B404" s="313">
        <v>47476</v>
      </c>
      <c r="C404" s="440">
        <f t="shared" ref="C404:M404" si="662">ROUND(+B404*(1+(HLOOKUP(C403,FringeAndIDCRates,11,FALSE))),0)</f>
        <v>49138</v>
      </c>
      <c r="D404" s="440">
        <f t="shared" si="662"/>
        <v>50760</v>
      </c>
      <c r="E404" s="440">
        <f t="shared" si="662"/>
        <v>52283</v>
      </c>
      <c r="F404" s="440">
        <f t="shared" si="662"/>
        <v>53851</v>
      </c>
      <c r="G404" s="440">
        <f t="shared" si="662"/>
        <v>55467</v>
      </c>
      <c r="H404" s="440">
        <f t="shared" si="662"/>
        <v>57131</v>
      </c>
      <c r="I404" s="440">
        <f t="shared" si="662"/>
        <v>58845</v>
      </c>
      <c r="J404" s="440">
        <f t="shared" si="662"/>
        <v>60610</v>
      </c>
      <c r="K404" s="440">
        <f t="shared" si="662"/>
        <v>62428</v>
      </c>
      <c r="L404" s="440">
        <f t="shared" si="662"/>
        <v>64301</v>
      </c>
      <c r="M404" s="440">
        <f t="shared" si="662"/>
        <v>66230</v>
      </c>
      <c r="N404" s="109"/>
      <c r="O404" s="317">
        <v>12</v>
      </c>
      <c r="P404" s="311"/>
      <c r="Q404" s="181"/>
      <c r="R404" s="61" t="str">
        <f>CONCATENATE("Number of Students ",IF(AND($AD$2&gt;=7,$AD$2&lt;=9),CONCATENATE("(Fall)"),IF(AND($AD$2&gt;=7,$AD$2&lt;=10),CONCATENATE("(Spring)"),IF(OR($AD$2&gt;=10,$AD$2&lt;=2),CONCATENATE("(Spring)"),IF(AND($AD$2&gt;=7,$AD$2&lt;=10),CONCATENATE("(Summer)"),IF(OR($AD$2&gt;=10,$AD$2&lt;=2),CONCATENATE("(Summer)"),IF(AND($AD$2&gt;=3,$AD$2&lt;=6),CONCATENATE("(Summer)"),"N/A")))))))</f>
        <v>Number of Students (Spring)</v>
      </c>
      <c r="S404" s="60">
        <f t="shared" ref="S404:X406" si="663">+B410</f>
        <v>0</v>
      </c>
      <c r="T404" s="60">
        <f t="shared" si="663"/>
        <v>0</v>
      </c>
      <c r="U404" s="60">
        <f t="shared" si="663"/>
        <v>0</v>
      </c>
      <c r="V404" s="60">
        <f t="shared" si="663"/>
        <v>0</v>
      </c>
      <c r="W404" s="60">
        <f t="shared" si="663"/>
        <v>0</v>
      </c>
      <c r="X404" s="60">
        <f t="shared" si="663"/>
        <v>0</v>
      </c>
      <c r="Y404" s="60">
        <f t="shared" ref="Y404:Y406" si="664">+H410</f>
        <v>0</v>
      </c>
      <c r="Z404" s="60">
        <f t="shared" ref="Z404:Z406" si="665">+I410</f>
        <v>0</v>
      </c>
      <c r="AA404" s="60">
        <f t="shared" ref="AA404:AA406" si="666">+J410</f>
        <v>0</v>
      </c>
      <c r="AB404" s="60">
        <f t="shared" ref="AB404:AB406" si="667">+K410</f>
        <v>0</v>
      </c>
      <c r="AC404" s="60">
        <f t="shared" ref="AC404:AD406" si="668">+L410</f>
        <v>0</v>
      </c>
      <c r="AD404" s="60">
        <f t="shared" si="668"/>
        <v>0</v>
      </c>
    </row>
    <row r="405" spans="1:30" x14ac:dyDescent="0.25">
      <c r="A405" s="168" t="s">
        <v>44</v>
      </c>
      <c r="B405" s="312">
        <v>0</v>
      </c>
      <c r="C405" s="312">
        <v>0</v>
      </c>
      <c r="D405" s="312">
        <v>0</v>
      </c>
      <c r="E405" s="312">
        <v>0</v>
      </c>
      <c r="F405" s="312">
        <v>0</v>
      </c>
      <c r="G405" s="312">
        <v>0</v>
      </c>
      <c r="H405" s="312">
        <v>0</v>
      </c>
      <c r="I405" s="312">
        <v>0</v>
      </c>
      <c r="J405" s="312">
        <v>0</v>
      </c>
      <c r="K405" s="312">
        <v>0</v>
      </c>
      <c r="L405" s="312">
        <v>0</v>
      </c>
      <c r="M405" s="312">
        <v>0</v>
      </c>
      <c r="N405" s="400"/>
      <c r="O405" s="25"/>
      <c r="P405" s="25"/>
      <c r="Q405" s="168"/>
      <c r="R405" s="115" t="str">
        <f>CONCATENATE("Number of Students ",IF(AND($AD$2&gt;=7,$AD$2&lt;=9),CONCATENATE("(Spring)"),IF(AND($AD$2&gt;=7,$AD$2&lt;=10),CONCATENATE("(Summer)"),IF(OR($AD$2&gt;=10,$AD$2&lt;=2),CONCATENATE("(Summer)"),IF(AND($AD$2&gt;=7,$AD$2&lt;=10),CONCATENATE("(Fall)"),IF(OR($AD$2&gt;=10,$AD$2&lt;=2),CONCATENATE("(Fall) "),IF(AND($AD$2&gt;=3,$AD$2&lt;=6),CONCATENATE("(Fall)"),"N/A")))))))</f>
        <v>Number of Students (Summer)</v>
      </c>
      <c r="S405" s="60">
        <f t="shared" si="663"/>
        <v>0</v>
      </c>
      <c r="T405" s="60">
        <f t="shared" si="663"/>
        <v>0</v>
      </c>
      <c r="U405" s="60">
        <f t="shared" si="663"/>
        <v>0</v>
      </c>
      <c r="V405" s="60">
        <f t="shared" si="663"/>
        <v>0</v>
      </c>
      <c r="W405" s="60">
        <f t="shared" si="663"/>
        <v>0</v>
      </c>
      <c r="X405" s="60">
        <f t="shared" si="663"/>
        <v>0</v>
      </c>
      <c r="Y405" s="60">
        <f t="shared" si="664"/>
        <v>0</v>
      </c>
      <c r="Z405" s="60">
        <f t="shared" si="665"/>
        <v>0</v>
      </c>
      <c r="AA405" s="60">
        <f t="shared" si="666"/>
        <v>0</v>
      </c>
      <c r="AB405" s="60">
        <f t="shared" si="667"/>
        <v>0</v>
      </c>
      <c r="AC405" s="60">
        <f t="shared" si="668"/>
        <v>0</v>
      </c>
      <c r="AD405" s="60">
        <f t="shared" si="668"/>
        <v>0</v>
      </c>
    </row>
    <row r="406" spans="1:30" x14ac:dyDescent="0.25">
      <c r="A406" s="168" t="str">
        <f>CONCATENATE("FTE for ",O404," Months")</f>
        <v>FTE for 12 Months</v>
      </c>
      <c r="B406" s="393">
        <f t="shared" ref="B406:L406" si="669">+B405/$O404</f>
        <v>0</v>
      </c>
      <c r="C406" s="393">
        <f t="shared" si="669"/>
        <v>0</v>
      </c>
      <c r="D406" s="393">
        <f t="shared" si="669"/>
        <v>0</v>
      </c>
      <c r="E406" s="393">
        <f t="shared" si="669"/>
        <v>0</v>
      </c>
      <c r="F406" s="393">
        <f t="shared" si="669"/>
        <v>0</v>
      </c>
      <c r="G406" s="393">
        <f t="shared" si="669"/>
        <v>0</v>
      </c>
      <c r="H406" s="393">
        <f t="shared" si="669"/>
        <v>0</v>
      </c>
      <c r="I406" s="393">
        <f t="shared" si="669"/>
        <v>0</v>
      </c>
      <c r="J406" s="393">
        <f t="shared" si="669"/>
        <v>0</v>
      </c>
      <c r="K406" s="393">
        <f t="shared" si="669"/>
        <v>0</v>
      </c>
      <c r="L406" s="393">
        <f t="shared" si="669"/>
        <v>0</v>
      </c>
      <c r="M406" s="393">
        <f t="shared" ref="M406" si="670">+M405/$O404</f>
        <v>0</v>
      </c>
      <c r="N406" s="401"/>
      <c r="O406" s="89"/>
      <c r="P406" s="89"/>
      <c r="Q406" s="179"/>
      <c r="R406" s="115" t="str">
        <f>CONCATENATE("Number of Students ",IF(AND($AD$2&gt;=7,$AD$2&lt;=9),CONCATENATE("(Summer)"),IF(AND($AD$2&gt;=7,$AD$2&lt;=10),CONCATENATE("(Fall)"),IF(OR($AD$2&gt;=10,$AD$2&lt;=2),CONCATENATE("(Fall)"),IF(AND($AD$2&gt;=7,$AD$2&lt;=10),CONCATENATE("(Spring)"),IF(OR($AD$2&gt;=10,$AD$2&lt;=2),CONCATENATE("(Spring)"),IF(AND($AD$2&gt;=3,$AD$2&lt;=6),CONCATENATE("(Spring)"),"N/A")))))))</f>
        <v>Number of Students (Fall)</v>
      </c>
      <c r="S406" s="60">
        <f t="shared" si="663"/>
        <v>0</v>
      </c>
      <c r="T406" s="60">
        <f t="shared" si="663"/>
        <v>0</v>
      </c>
      <c r="U406" s="60">
        <f t="shared" si="663"/>
        <v>0</v>
      </c>
      <c r="V406" s="60">
        <f t="shared" si="663"/>
        <v>0</v>
      </c>
      <c r="W406" s="60">
        <f t="shared" si="663"/>
        <v>0</v>
      </c>
      <c r="X406" s="60">
        <f t="shared" si="663"/>
        <v>0</v>
      </c>
      <c r="Y406" s="60">
        <f t="shared" si="664"/>
        <v>0</v>
      </c>
      <c r="Z406" s="60">
        <f t="shared" si="665"/>
        <v>0</v>
      </c>
      <c r="AA406" s="60">
        <f t="shared" si="666"/>
        <v>0</v>
      </c>
      <c r="AB406" s="60">
        <f t="shared" si="667"/>
        <v>0</v>
      </c>
      <c r="AC406" s="60">
        <f t="shared" si="668"/>
        <v>0</v>
      </c>
      <c r="AD406" s="60">
        <f t="shared" si="668"/>
        <v>0</v>
      </c>
    </row>
    <row r="407" spans="1:30" x14ac:dyDescent="0.25">
      <c r="A407" s="168" t="s">
        <v>21</v>
      </c>
      <c r="B407" s="110">
        <f t="shared" ref="B407:K407" si="671">ROUND((B404*B406*$Q$41)+(C404*B406*$Q$42),0)</f>
        <v>0</v>
      </c>
      <c r="C407" s="110">
        <f t="shared" si="671"/>
        <v>0</v>
      </c>
      <c r="D407" s="110">
        <f t="shared" si="671"/>
        <v>0</v>
      </c>
      <c r="E407" s="110">
        <f t="shared" si="671"/>
        <v>0</v>
      </c>
      <c r="F407" s="110">
        <f t="shared" si="671"/>
        <v>0</v>
      </c>
      <c r="G407" s="110">
        <f t="shared" si="671"/>
        <v>0</v>
      </c>
      <c r="H407" s="110">
        <f t="shared" si="671"/>
        <v>0</v>
      </c>
      <c r="I407" s="110">
        <f t="shared" si="671"/>
        <v>0</v>
      </c>
      <c r="J407" s="110">
        <f t="shared" si="671"/>
        <v>0</v>
      </c>
      <c r="K407" s="110">
        <f t="shared" si="671"/>
        <v>0</v>
      </c>
      <c r="L407" s="110">
        <f>ROUND((L404*L406*$Q$41)+(N404*L406*$Q$42),0)</f>
        <v>0</v>
      </c>
      <c r="M407" s="110">
        <f>ROUND((M404*M406*$Q$41)+(O404*M406*$Q$42),0)</f>
        <v>0</v>
      </c>
      <c r="N407" s="402"/>
      <c r="O407" s="89"/>
      <c r="P407" s="89"/>
      <c r="Q407" s="179"/>
      <c r="R407" s="25"/>
      <c r="S407" s="33"/>
      <c r="T407" s="33"/>
      <c r="U407" s="33"/>
      <c r="V407" s="33"/>
      <c r="W407" s="33"/>
      <c r="X407" s="33"/>
      <c r="Y407" s="23"/>
    </row>
    <row r="408" spans="1:30" x14ac:dyDescent="0.25">
      <c r="A408" s="168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89"/>
      <c r="P408" s="89"/>
      <c r="Q408" s="179"/>
      <c r="R408" s="25"/>
      <c r="S408" s="33"/>
      <c r="T408" s="33"/>
      <c r="U408" s="33"/>
      <c r="V408" s="33"/>
      <c r="W408" s="33"/>
      <c r="X408" s="33"/>
      <c r="Y408" s="23"/>
    </row>
    <row r="409" spans="1:30" ht="15.75" thickBot="1" x14ac:dyDescent="0.3">
      <c r="A409" s="176" t="s">
        <v>70</v>
      </c>
      <c r="B409" s="24" t="s">
        <v>1</v>
      </c>
      <c r="C409" s="24" t="s">
        <v>2</v>
      </c>
      <c r="D409" s="24" t="s">
        <v>3</v>
      </c>
      <c r="E409" s="24" t="s">
        <v>39</v>
      </c>
      <c r="F409" s="24" t="s">
        <v>45</v>
      </c>
      <c r="G409" s="24" t="s">
        <v>183</v>
      </c>
      <c r="H409" s="24" t="s">
        <v>184</v>
      </c>
      <c r="I409" s="24" t="s">
        <v>185</v>
      </c>
      <c r="J409" s="24" t="s">
        <v>186</v>
      </c>
      <c r="K409" s="24" t="s">
        <v>187</v>
      </c>
      <c r="L409" s="23"/>
      <c r="M409" s="23"/>
      <c r="N409" s="23"/>
      <c r="O409" s="89"/>
      <c r="P409" s="89"/>
      <c r="Q409" s="179"/>
      <c r="R409" s="422" t="s">
        <v>105</v>
      </c>
      <c r="S409" s="50" t="s">
        <v>1</v>
      </c>
      <c r="T409" s="51" t="s">
        <v>2</v>
      </c>
      <c r="U409" s="51" t="s">
        <v>3</v>
      </c>
      <c r="V409" s="51" t="s">
        <v>39</v>
      </c>
      <c r="W409" s="51" t="s">
        <v>45</v>
      </c>
      <c r="X409" s="51" t="s">
        <v>183</v>
      </c>
      <c r="Y409" s="51" t="s">
        <v>184</v>
      </c>
      <c r="Z409" s="51" t="s">
        <v>185</v>
      </c>
      <c r="AA409" s="51" t="s">
        <v>186</v>
      </c>
      <c r="AB409" s="51" t="s">
        <v>187</v>
      </c>
    </row>
    <row r="410" spans="1:30" x14ac:dyDescent="0.25">
      <c r="A410" s="168" t="str">
        <f>+R404</f>
        <v>Number of Students (Spring)</v>
      </c>
      <c r="B410" s="314">
        <v>0</v>
      </c>
      <c r="C410" s="314">
        <v>0</v>
      </c>
      <c r="D410" s="314">
        <v>0</v>
      </c>
      <c r="E410" s="314">
        <v>0</v>
      </c>
      <c r="F410" s="314">
        <v>0</v>
      </c>
      <c r="G410" s="314">
        <v>0</v>
      </c>
      <c r="H410" s="314">
        <v>0</v>
      </c>
      <c r="I410" s="314">
        <v>0</v>
      </c>
      <c r="J410" s="314">
        <v>0</v>
      </c>
      <c r="K410" s="314">
        <v>0</v>
      </c>
      <c r="L410" s="23"/>
      <c r="M410" s="23"/>
      <c r="N410" s="23"/>
      <c r="O410" s="89"/>
      <c r="P410" s="89"/>
      <c r="Q410" s="179"/>
      <c r="R410" s="36" t="s">
        <v>22</v>
      </c>
      <c r="S410" s="37">
        <f>SUM(S420:S422)</f>
        <v>0</v>
      </c>
      <c r="T410" s="37">
        <f>SUM(T420:T422)</f>
        <v>0</v>
      </c>
      <c r="U410" s="37">
        <f>SUM(U420:U422)</f>
        <v>0</v>
      </c>
      <c r="V410" s="37">
        <f>SUM(V420:V422)</f>
        <v>0</v>
      </c>
      <c r="W410" s="37">
        <f t="shared" ref="W410:AB410" si="672">SUM(W420:W422)</f>
        <v>0</v>
      </c>
      <c r="X410" s="37">
        <f t="shared" si="672"/>
        <v>0</v>
      </c>
      <c r="Y410" s="37">
        <f t="shared" si="672"/>
        <v>0</v>
      </c>
      <c r="Z410" s="37">
        <f t="shared" si="672"/>
        <v>0</v>
      </c>
      <c r="AA410" s="37">
        <f t="shared" si="672"/>
        <v>0</v>
      </c>
      <c r="AB410" s="37">
        <f t="shared" si="672"/>
        <v>0</v>
      </c>
    </row>
    <row r="411" spans="1:30" x14ac:dyDescent="0.25">
      <c r="A411" s="168" t="str">
        <f>+R405</f>
        <v>Number of Students (Summer)</v>
      </c>
      <c r="B411" s="315">
        <f>+B410</f>
        <v>0</v>
      </c>
      <c r="C411" s="315">
        <f>+C410</f>
        <v>0</v>
      </c>
      <c r="D411" s="315">
        <f>+D410</f>
        <v>0</v>
      </c>
      <c r="E411" s="315">
        <f>+E410</f>
        <v>0</v>
      </c>
      <c r="F411" s="315">
        <f>+F410</f>
        <v>0</v>
      </c>
      <c r="G411" s="315">
        <f t="shared" ref="G411:K411" si="673">+G410</f>
        <v>0</v>
      </c>
      <c r="H411" s="315">
        <f t="shared" si="673"/>
        <v>0</v>
      </c>
      <c r="I411" s="315">
        <f t="shared" si="673"/>
        <v>0</v>
      </c>
      <c r="J411" s="315">
        <f t="shared" si="673"/>
        <v>0</v>
      </c>
      <c r="K411" s="315">
        <f t="shared" si="673"/>
        <v>0</v>
      </c>
      <c r="L411" s="23"/>
      <c r="M411" s="23"/>
      <c r="N411" s="23"/>
      <c r="O411" s="89"/>
      <c r="P411" s="89"/>
      <c r="Q411" s="179"/>
      <c r="R411" s="36" t="s">
        <v>8</v>
      </c>
      <c r="S411" s="37">
        <f>SUM(S423:S425)</f>
        <v>0</v>
      </c>
      <c r="T411" s="37">
        <f>SUM(T423:T425)</f>
        <v>0</v>
      </c>
      <c r="U411" s="37">
        <f>SUM(U423:U425)</f>
        <v>0</v>
      </c>
      <c r="V411" s="37">
        <f>SUM(V423:V425)</f>
        <v>0</v>
      </c>
      <c r="W411" s="37">
        <f t="shared" ref="W411:AB411" si="674">SUM(W423:W425)</f>
        <v>0</v>
      </c>
      <c r="X411" s="37">
        <f t="shared" si="674"/>
        <v>0</v>
      </c>
      <c r="Y411" s="37">
        <f t="shared" si="674"/>
        <v>0</v>
      </c>
      <c r="Z411" s="37">
        <f t="shared" si="674"/>
        <v>0</v>
      </c>
      <c r="AA411" s="37">
        <f t="shared" si="674"/>
        <v>0</v>
      </c>
      <c r="AB411" s="37">
        <f t="shared" si="674"/>
        <v>0</v>
      </c>
    </row>
    <row r="412" spans="1:30" x14ac:dyDescent="0.25">
      <c r="A412" s="168" t="str">
        <f>+R406</f>
        <v>Number of Students (Fall)</v>
      </c>
      <c r="B412" s="315">
        <f>+B410</f>
        <v>0</v>
      </c>
      <c r="C412" s="315">
        <f>+C410</f>
        <v>0</v>
      </c>
      <c r="D412" s="315">
        <f>+D410</f>
        <v>0</v>
      </c>
      <c r="E412" s="315">
        <f>+E410</f>
        <v>0</v>
      </c>
      <c r="F412" s="315">
        <f>+F410</f>
        <v>0</v>
      </c>
      <c r="G412" s="315">
        <f t="shared" ref="G412:K412" si="675">+G410</f>
        <v>0</v>
      </c>
      <c r="H412" s="315">
        <f t="shared" si="675"/>
        <v>0</v>
      </c>
      <c r="I412" s="315">
        <f t="shared" si="675"/>
        <v>0</v>
      </c>
      <c r="J412" s="315">
        <f t="shared" si="675"/>
        <v>0</v>
      </c>
      <c r="K412" s="315">
        <f t="shared" si="675"/>
        <v>0</v>
      </c>
      <c r="L412" s="23"/>
      <c r="M412" s="23"/>
      <c r="N412" s="23"/>
      <c r="O412" s="227"/>
      <c r="P412" s="89"/>
      <c r="Q412" s="179"/>
      <c r="R412" s="36" t="s">
        <v>9</v>
      </c>
      <c r="S412" s="37">
        <f>SUM(S426:S428)</f>
        <v>0</v>
      </c>
      <c r="T412" s="37">
        <f>SUM(T426:T428)</f>
        <v>0</v>
      </c>
      <c r="U412" s="37">
        <f>SUM(U426:U428)</f>
        <v>0</v>
      </c>
      <c r="V412" s="37">
        <f>SUM(V426:V428)</f>
        <v>0</v>
      </c>
      <c r="W412" s="37">
        <f t="shared" ref="W412:AB412" si="676">SUM(W426:W428)</f>
        <v>0</v>
      </c>
      <c r="X412" s="37">
        <f t="shared" si="676"/>
        <v>0</v>
      </c>
      <c r="Y412" s="37">
        <f t="shared" si="676"/>
        <v>0</v>
      </c>
      <c r="Z412" s="37">
        <f t="shared" si="676"/>
        <v>0</v>
      </c>
      <c r="AA412" s="37">
        <f t="shared" si="676"/>
        <v>0</v>
      </c>
      <c r="AB412" s="37">
        <f t="shared" si="676"/>
        <v>0</v>
      </c>
    </row>
    <row r="413" spans="1:30" ht="15.75" thickBot="1" x14ac:dyDescent="0.3">
      <c r="A413" s="168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23"/>
      <c r="M413" s="23"/>
      <c r="N413" s="23"/>
      <c r="O413" s="89"/>
      <c r="P413" s="89"/>
      <c r="Q413" s="179"/>
      <c r="R413" s="38" t="s">
        <v>31</v>
      </c>
      <c r="S413" s="39">
        <f>SUM(S410:S412)</f>
        <v>0</v>
      </c>
      <c r="T413" s="39">
        <f>SUM(T410:T412)</f>
        <v>0</v>
      </c>
      <c r="U413" s="39">
        <f>SUM(U410:U412)</f>
        <v>0</v>
      </c>
      <c r="V413" s="39">
        <f>SUM(V410:V412)</f>
        <v>0</v>
      </c>
      <c r="W413" s="39">
        <f t="shared" ref="W413" si="677">SUM(W410:W412)</f>
        <v>0</v>
      </c>
      <c r="X413" s="39">
        <f t="shared" ref="X413" si="678">SUM(X410:X412)</f>
        <v>0</v>
      </c>
      <c r="Y413" s="39">
        <f t="shared" ref="Y413" si="679">SUM(Y410:Y412)</f>
        <v>0</v>
      </c>
      <c r="Z413" s="39">
        <f t="shared" ref="Z413" si="680">SUM(Z410:Z412)</f>
        <v>0</v>
      </c>
      <c r="AA413" s="39">
        <f t="shared" ref="AA413" si="681">SUM(AA410:AA412)</f>
        <v>0</v>
      </c>
      <c r="AB413" s="39">
        <f t="shared" ref="AB413" si="682">SUM(AB410:AB412)</f>
        <v>0</v>
      </c>
    </row>
    <row r="414" spans="1:30" x14ac:dyDescent="0.25">
      <c r="A414" s="176" t="s">
        <v>73</v>
      </c>
      <c r="B414" s="24" t="s">
        <v>1</v>
      </c>
      <c r="C414" s="24" t="s">
        <v>2</v>
      </c>
      <c r="D414" s="24" t="s">
        <v>3</v>
      </c>
      <c r="E414" s="24" t="s">
        <v>39</v>
      </c>
      <c r="F414" s="24" t="s">
        <v>45</v>
      </c>
      <c r="G414" s="24" t="s">
        <v>183</v>
      </c>
      <c r="H414" s="24" t="s">
        <v>184</v>
      </c>
      <c r="I414" s="24" t="s">
        <v>185</v>
      </c>
      <c r="J414" s="24" t="s">
        <v>186</v>
      </c>
      <c r="K414" s="24" t="s">
        <v>187</v>
      </c>
      <c r="Q414" s="164"/>
      <c r="S414" s="116"/>
      <c r="Y414" s="23"/>
    </row>
    <row r="415" spans="1:30" x14ac:dyDescent="0.25">
      <c r="A415" s="168" t="s">
        <v>69</v>
      </c>
      <c r="B415" s="312">
        <f>Minimum_Undergraduate_rate</f>
        <v>15</v>
      </c>
      <c r="C415" s="312">
        <f>+B415</f>
        <v>15</v>
      </c>
      <c r="D415" s="312">
        <f t="shared" ref="D415" si="683">+C415</f>
        <v>15</v>
      </c>
      <c r="E415" s="312">
        <f t="shared" ref="E415" si="684">+D415</f>
        <v>15</v>
      </c>
      <c r="F415" s="312">
        <f t="shared" ref="F415" si="685">+E415</f>
        <v>15</v>
      </c>
      <c r="G415" s="312">
        <f t="shared" ref="G415" si="686">+F415</f>
        <v>15</v>
      </c>
      <c r="H415" s="312">
        <f t="shared" ref="H415" si="687">+G415</f>
        <v>15</v>
      </c>
      <c r="I415" s="312">
        <f t="shared" ref="I415" si="688">+H415</f>
        <v>15</v>
      </c>
      <c r="J415" s="312">
        <f t="shared" ref="J415" si="689">+I415</f>
        <v>15</v>
      </c>
      <c r="K415" s="312">
        <f t="shared" ref="K415" si="690">+J415</f>
        <v>15</v>
      </c>
      <c r="Q415" s="164"/>
      <c r="Y415" s="23"/>
    </row>
    <row r="416" spans="1:30" x14ac:dyDescent="0.25">
      <c r="A416" s="168" t="s">
        <v>60</v>
      </c>
      <c r="B416" s="316">
        <v>0</v>
      </c>
      <c r="C416" s="316">
        <v>0</v>
      </c>
      <c r="D416" s="316">
        <v>0</v>
      </c>
      <c r="E416" s="316">
        <v>0</v>
      </c>
      <c r="F416" s="316">
        <v>0</v>
      </c>
      <c r="G416" s="316">
        <v>0</v>
      </c>
      <c r="H416" s="316">
        <v>0</v>
      </c>
      <c r="I416" s="316">
        <v>0</v>
      </c>
      <c r="J416" s="316">
        <v>0</v>
      </c>
      <c r="K416" s="316">
        <v>0</v>
      </c>
      <c r="Q416" s="164"/>
      <c r="R416" s="117"/>
      <c r="S416" s="53" t="str">
        <f>CONCATENATE("FY",$AD$3)</f>
        <v>FY2025</v>
      </c>
      <c r="T416" s="53" t="str">
        <f>CONCATENATE("FY",$AD$3+1)</f>
        <v>FY2026</v>
      </c>
      <c r="U416" s="53" t="str">
        <f>CONCATENATE("FY",$AD$3+2)</f>
        <v>FY2027</v>
      </c>
      <c r="V416" s="53" t="str">
        <f>CONCATENATE("FY",$AD$3+3)</f>
        <v>FY2028</v>
      </c>
      <c r="W416" s="53" t="str">
        <f>CONCATENATE("FY",$AD$3+4)</f>
        <v>FY2029</v>
      </c>
      <c r="X416" s="53" t="str">
        <f>CONCATENATE("FY",$AD$3+5)</f>
        <v>FY2030</v>
      </c>
      <c r="Y416" s="53" t="str">
        <f>CONCATENATE("FY",$AD$3+6)</f>
        <v>FY2031</v>
      </c>
      <c r="Z416" s="53" t="str">
        <f>CONCATENATE("FY",$AD$3+7)</f>
        <v>FY2032</v>
      </c>
      <c r="AA416" s="53" t="str">
        <f>CONCATENATE("FY",$AD$3+8)</f>
        <v>FY2033</v>
      </c>
      <c r="AB416" s="53" t="str">
        <f>CONCATENATE("FY",$AD$3+9)</f>
        <v>FY2034</v>
      </c>
    </row>
    <row r="417" spans="1:28" x14ac:dyDescent="0.25">
      <c r="A417" s="168" t="s">
        <v>61</v>
      </c>
      <c r="B417" s="316">
        <v>0</v>
      </c>
      <c r="C417" s="316">
        <v>0</v>
      </c>
      <c r="D417" s="316">
        <v>0</v>
      </c>
      <c r="E417" s="316">
        <v>0</v>
      </c>
      <c r="F417" s="316">
        <v>0</v>
      </c>
      <c r="G417" s="316">
        <v>0</v>
      </c>
      <c r="H417" s="316">
        <v>0</v>
      </c>
      <c r="I417" s="316">
        <v>0</v>
      </c>
      <c r="J417" s="316">
        <v>0</v>
      </c>
      <c r="K417" s="316">
        <v>0</v>
      </c>
      <c r="Q417" s="164"/>
      <c r="R417" s="118"/>
      <c r="S417" s="53" t="str">
        <f>IF(OR($AD$2&gt;=7,$AD$2&lt;=2),CONCATENATE("FY",$AD$3),IF(AND($AD$2&gt;=3,$AD$2&lt;=6),CONCATENATE("FY",$AD$3+1),"N/A"))</f>
        <v>FY2025</v>
      </c>
      <c r="T417" s="53" t="str">
        <f>IF(OR($AD$2&gt;=7,$AD$2&lt;=2),CONCATENATE("FY",$AD$3+1),IF(AND($AD$2&gt;=3,$AD$2&lt;=6),CONCATENATE("FY",$AD$3+2),"N/A"))</f>
        <v>FY2026</v>
      </c>
      <c r="U417" s="53" t="str">
        <f>IF(OR($AD$2&gt;=7,$AD$2&lt;=2),CONCATENATE("FY",$AD$3+2),IF(AND($AD$2&gt;=3,$AD$2&lt;=6),CONCATENATE("FY",$AD$3+3),"N/A"))</f>
        <v>FY2027</v>
      </c>
      <c r="V417" s="53" t="str">
        <f>IF(OR($AD$2&gt;=7,$AD$2&lt;=2),CONCATENATE("FY",$AD$3+3),IF(AND($AD$2&gt;=3,$AD$2&lt;=6),CONCATENATE("FY",$AD$3+4),"N/A"))</f>
        <v>FY2028</v>
      </c>
      <c r="W417" s="53" t="str">
        <f>IF(OR($AD$2&gt;=7,$AD$2&lt;=2),CONCATENATE("FY",$AD$3+4),IF(AND($AD$2&gt;=3,$AD$2&lt;=6),CONCATENATE("FY",$AD$3+5),"N/A"))</f>
        <v>FY2029</v>
      </c>
      <c r="X417" s="53" t="str">
        <f>IF(OR($AD$2&gt;=7,$AD$2&lt;=2),CONCATENATE("FY",$AD$3+5),IF(AND($AD$2&gt;=3,$AD$2&lt;=6),CONCATENATE("FY",$AD$3+6),"N/A"))</f>
        <v>FY2030</v>
      </c>
      <c r="Y417" s="53" t="str">
        <f>IF(OR($AD$2&gt;=7,$AD$2&lt;=2),CONCATENATE("FY",$AD$3+6),IF(AND($AD$2&gt;=3,$AD$2&lt;=6),CONCATENATE("FY",$AD$3+7),"N/A"))</f>
        <v>FY2031</v>
      </c>
      <c r="Z417" s="53" t="str">
        <f>IF(OR($AD$2&gt;=7,$AD$2&lt;=2),CONCATENATE("FY",$AD$3+7),IF(AND($AD$2&gt;=3,$AD$2&lt;=6),CONCATENATE("FY",$AD$3+8),"N/A"))</f>
        <v>FY2032</v>
      </c>
      <c r="AA417" s="53" t="str">
        <f>IF(OR($AD$2&gt;=7,$AD$2&lt;=2),CONCATENATE("FY",$AD$3+8),IF(AND($AD$2&gt;=3,$AD$2&lt;=6),CONCATENATE("FY",$AD$3+9),"N/A"))</f>
        <v>FY2033</v>
      </c>
      <c r="AB417" s="53" t="str">
        <f>IF(OR($AD$2&gt;=7,$AD$2&lt;=2),CONCATENATE("FY",$AD$3+9),IF(AND($AD$2&gt;=3,$AD$2&lt;=6),CONCATENATE("FY",$AD$3+10),"N/A"))</f>
        <v>FY2034</v>
      </c>
    </row>
    <row r="418" spans="1:28" x14ac:dyDescent="0.25">
      <c r="A418" s="168" t="s">
        <v>66</v>
      </c>
      <c r="B418" s="54">
        <f>ROUND(B415*(B416*B417),0)</f>
        <v>0</v>
      </c>
      <c r="C418" s="54">
        <f t="shared" ref="C418:F418" si="691">ROUND(C415*(C416*C417),0)</f>
        <v>0</v>
      </c>
      <c r="D418" s="54">
        <f t="shared" si="691"/>
        <v>0</v>
      </c>
      <c r="E418" s="54">
        <f t="shared" si="691"/>
        <v>0</v>
      </c>
      <c r="F418" s="54">
        <f t="shared" si="691"/>
        <v>0</v>
      </c>
      <c r="G418" s="54">
        <f t="shared" ref="G418:K418" si="692">ROUND(G415*(G416*G417),0)</f>
        <v>0</v>
      </c>
      <c r="H418" s="54">
        <f t="shared" si="692"/>
        <v>0</v>
      </c>
      <c r="I418" s="54">
        <f t="shared" si="692"/>
        <v>0</v>
      </c>
      <c r="J418" s="54">
        <f t="shared" si="692"/>
        <v>0</v>
      </c>
      <c r="K418" s="54">
        <f t="shared" si="692"/>
        <v>0</v>
      </c>
      <c r="Q418" s="164"/>
      <c r="R418" s="53"/>
      <c r="S418" s="53" t="str">
        <f>IF(AND($AD$2&gt;=1,$AD$2&lt;=6),CONCATENATE("FY",$AD$3+1),IF(AND($AD$2&gt;=7,$AD$2&lt;=9),CONCATENATE("FY",$AD$3),IF(AND($AD$2&gt;=10,$AD$2&lt;=126),CONCATENATE("FY",$AD$3+1),"N/A")))</f>
        <v>FY2026</v>
      </c>
      <c r="T418" s="53" t="str">
        <f>IF(AND($AD$2&gt;=1,$AD$2&lt;=6),CONCATENATE("FY",$AD$3+2),IF(AND($AD$2&gt;=7,$AD$2&lt;=9),CONCATENATE("FY",$AD$3+1),IF(AND($AD$2&gt;=10,$AD$2&lt;=126),CONCATENATE("FY",$AD$3+2),"N/A")))</f>
        <v>FY2027</v>
      </c>
      <c r="U418" s="53" t="str">
        <f>IF(AND($AD$2&gt;=1,$AD$2&lt;=6),CONCATENATE("FY",$AD$3+3),IF(AND($AD$2&gt;=7,$AD$2&lt;=9),CONCATENATE("FY",$AD$3+2),IF(AND($AD$2&gt;=10,$AD$2&lt;=126),CONCATENATE("FY",$AD$3+3),"N/A")))</f>
        <v>FY2028</v>
      </c>
      <c r="V418" s="53" t="str">
        <f>IF(AND($AD$2&gt;=1,$AD$2&lt;=6),CONCATENATE("FY",$AD$3+4),IF(AND($AD$2&gt;=7,$AD$2&lt;=9),CONCATENATE("FY",$AD$3+3),IF(AND($AD$2&gt;=10,$AD$2&lt;=126),CONCATENATE("FY",$AD$3+4),"N/A")))</f>
        <v>FY2029</v>
      </c>
      <c r="W418" s="53" t="str">
        <f>IF(AND($AD$2&gt;=1,$AD$2&lt;=6),CONCATENATE("FY",$AD$3+5),IF(AND($AD$2&gt;=7,$AD$2&lt;=9),CONCATENATE("FY",$AD$3+4),IF(AND($AD$2&gt;=10,$AD$2&lt;=126),CONCATENATE("FY",$AD$3+5),"N/A")))</f>
        <v>FY2030</v>
      </c>
      <c r="X418" s="53" t="str">
        <f>IF(AND($AD$2&gt;=1,$AD$2&lt;=6),CONCATENATE("FY",$AD$3+6),IF(AND($AD$2&gt;=7,$AD$2&lt;=9),CONCATENATE("FY",$AD$3+5),IF(AND($AD$2&gt;=10,$AD$2&lt;=126),CONCATENATE("FY",$AD$3+6),"N/A")))</f>
        <v>FY2031</v>
      </c>
      <c r="Y418" s="53" t="str">
        <f>IF(AND($AD$2&gt;=1,$AD$2&lt;=6),CONCATENATE("FY",$AD$3+6),IF(AND($AD$2&gt;=7,$AD$2&lt;=9),CONCATENATE("FY",$AD$3+6),IF(AND($AD$2&gt;=10,$AD$2&lt;=126),CONCATENATE("FY",$AD$3+7),"N/A")))</f>
        <v>FY2031</v>
      </c>
      <c r="Z418" s="53" t="str">
        <f>IF(AND($AD$2&gt;=1,$AD$2&lt;=6),CONCATENATE("FY",$AD$3+6),IF(AND($AD$2&gt;=7,$AD$2&lt;=9),CONCATENATE("FY",$AD$3+7),IF(AND($AD$2&gt;=10,$AD$2&lt;=126),CONCATENATE("FY",$AD$3+8),"N/A")))</f>
        <v>FY2031</v>
      </c>
      <c r="AA418" s="53" t="str">
        <f>IF(AND($AD$2&gt;=1,$AD$2&lt;=6),CONCATENATE("FY",$AD$3+6),IF(AND($AD$2&gt;=7,$AD$2&lt;=9),CONCATENATE("FY",$AD$3+8),IF(AND($AD$2&gt;=10,$AD$2&lt;=126),CONCATENATE("FY",$AD$3+9),"N/A")))</f>
        <v>FY2031</v>
      </c>
      <c r="AB418" s="53" t="str">
        <f>IF(AND($AD$2&gt;=1,$AD$2&lt;=6),CONCATENATE("FY",$AD$3+6),IF(AND($AD$2&gt;=7,$AD$2&lt;=9),CONCATENATE("FY",$AD$3+9),IF(AND($AD$2&gt;=10,$AD$2&lt;=126),CONCATENATE("FY",$AD$3+10),"N/A")))</f>
        <v>FY2031</v>
      </c>
    </row>
    <row r="419" spans="1:28" ht="15.75" thickBot="1" x14ac:dyDescent="0.3">
      <c r="A419" s="168" t="s">
        <v>58</v>
      </c>
      <c r="B419" s="316">
        <v>0</v>
      </c>
      <c r="C419" s="316">
        <v>0</v>
      </c>
      <c r="D419" s="316">
        <v>0</v>
      </c>
      <c r="E419" s="316">
        <v>0</v>
      </c>
      <c r="F419" s="316">
        <v>0</v>
      </c>
      <c r="G419" s="316">
        <v>0</v>
      </c>
      <c r="H419" s="316">
        <v>0</v>
      </c>
      <c r="I419" s="316">
        <v>0</v>
      </c>
      <c r="J419" s="316">
        <v>0</v>
      </c>
      <c r="K419" s="316">
        <v>0</v>
      </c>
      <c r="Q419" s="164"/>
      <c r="R419" s="422" t="s">
        <v>106</v>
      </c>
      <c r="S419" s="50" t="s">
        <v>1</v>
      </c>
      <c r="T419" s="51" t="s">
        <v>2</v>
      </c>
      <c r="U419" s="51" t="s">
        <v>3</v>
      </c>
      <c r="V419" s="51" t="s">
        <v>39</v>
      </c>
      <c r="W419" s="51" t="s">
        <v>45</v>
      </c>
      <c r="X419" s="51" t="s">
        <v>183</v>
      </c>
      <c r="Y419" s="51" t="s">
        <v>184</v>
      </c>
      <c r="Z419" s="51" t="s">
        <v>185</v>
      </c>
      <c r="AA419" s="51" t="s">
        <v>186</v>
      </c>
      <c r="AB419" s="51" t="s">
        <v>187</v>
      </c>
    </row>
    <row r="420" spans="1:28" x14ac:dyDescent="0.25">
      <c r="A420" s="168" t="s">
        <v>59</v>
      </c>
      <c r="B420" s="316">
        <v>0</v>
      </c>
      <c r="C420" s="316">
        <v>0</v>
      </c>
      <c r="D420" s="316">
        <v>0</v>
      </c>
      <c r="E420" s="316">
        <v>0</v>
      </c>
      <c r="F420" s="316">
        <v>0</v>
      </c>
      <c r="G420" s="316">
        <v>0</v>
      </c>
      <c r="H420" s="316">
        <v>0</v>
      </c>
      <c r="I420" s="316">
        <v>0</v>
      </c>
      <c r="J420" s="316">
        <v>0</v>
      </c>
      <c r="K420" s="316">
        <v>0</v>
      </c>
      <c r="Q420" s="164"/>
      <c r="R420" s="119" t="str">
        <f t="shared" ref="R420:R428" si="693">+R96</f>
        <v>Stipend (Spring)</v>
      </c>
      <c r="S420" s="120">
        <f t="shared" ref="S420:AB420" si="694">IF(RIGHT($R420,8)="(Summer)",ROUND(S404*HLOOKUP(S416,CoPI_4_GRARateTbl,3,FALSE),0))+IF(RIGHT($R420,8)&lt;&gt;"(Summer)",ROUND(S404*HLOOKUP(S416,CoPI_4_GRARateTbl,2,FALSE)/2,0))</f>
        <v>0</v>
      </c>
      <c r="T420" s="120">
        <f t="shared" si="694"/>
        <v>0</v>
      </c>
      <c r="U420" s="120">
        <f t="shared" si="694"/>
        <v>0</v>
      </c>
      <c r="V420" s="120">
        <f t="shared" si="694"/>
        <v>0</v>
      </c>
      <c r="W420" s="120">
        <f t="shared" si="694"/>
        <v>0</v>
      </c>
      <c r="X420" s="120">
        <f t="shared" si="694"/>
        <v>0</v>
      </c>
      <c r="Y420" s="120">
        <f t="shared" si="694"/>
        <v>0</v>
      </c>
      <c r="Z420" s="120">
        <f t="shared" si="694"/>
        <v>0</v>
      </c>
      <c r="AA420" s="120">
        <f t="shared" si="694"/>
        <v>0</v>
      </c>
      <c r="AB420" s="120">
        <f t="shared" si="694"/>
        <v>0</v>
      </c>
    </row>
    <row r="421" spans="1:28" x14ac:dyDescent="0.25">
      <c r="A421" s="168" t="s">
        <v>67</v>
      </c>
      <c r="B421" s="54">
        <f>ROUND(B415*(B419*B420),0)</f>
        <v>0</v>
      </c>
      <c r="C421" s="54">
        <f>ROUND(C415*(C419*C420),0)</f>
        <v>0</v>
      </c>
      <c r="D421" s="54">
        <f>ROUND(D415*(D419*D420),0)</f>
        <v>0</v>
      </c>
      <c r="E421" s="54">
        <f>ROUND(E415*(E419*E420),0)</f>
        <v>0</v>
      </c>
      <c r="F421" s="54">
        <f>ROUND(F415*(F419*F420),0)</f>
        <v>0</v>
      </c>
      <c r="G421" s="54">
        <f t="shared" ref="G421:K421" si="695">ROUND(G415*(G419*G420),0)</f>
        <v>0</v>
      </c>
      <c r="H421" s="54">
        <f t="shared" si="695"/>
        <v>0</v>
      </c>
      <c r="I421" s="54">
        <f t="shared" si="695"/>
        <v>0</v>
      </c>
      <c r="J421" s="54">
        <f t="shared" si="695"/>
        <v>0</v>
      </c>
      <c r="K421" s="54">
        <f t="shared" si="695"/>
        <v>0</v>
      </c>
      <c r="Q421" s="164"/>
      <c r="R421" s="121" t="str">
        <f t="shared" si="693"/>
        <v>Stipend (Summer)</v>
      </c>
      <c r="S421" s="120">
        <f t="shared" ref="S421:AB421" si="696">IF(RIGHT($R421,8)="(Summer)",ROUND(S405*HLOOKUP(S417,CoPI_4_GRARateTbl,3,FALSE),0))+IF(RIGHT($R421,8)&lt;&gt;"(Summer)",ROUND(S405*HLOOKUP(S417,CoPI_4_GRARateTbl,2,FALSE)/2,0))</f>
        <v>0</v>
      </c>
      <c r="T421" s="120">
        <f t="shared" si="696"/>
        <v>0</v>
      </c>
      <c r="U421" s="120">
        <f t="shared" si="696"/>
        <v>0</v>
      </c>
      <c r="V421" s="120">
        <f t="shared" si="696"/>
        <v>0</v>
      </c>
      <c r="W421" s="120">
        <f t="shared" si="696"/>
        <v>0</v>
      </c>
      <c r="X421" s="120">
        <f t="shared" si="696"/>
        <v>0</v>
      </c>
      <c r="Y421" s="120">
        <f t="shared" si="696"/>
        <v>0</v>
      </c>
      <c r="Z421" s="120">
        <f t="shared" si="696"/>
        <v>0</v>
      </c>
      <c r="AA421" s="120">
        <f t="shared" si="696"/>
        <v>0</v>
      </c>
      <c r="AB421" s="120">
        <f t="shared" si="696"/>
        <v>0</v>
      </c>
    </row>
    <row r="422" spans="1:28" x14ac:dyDescent="0.25">
      <c r="A422" s="168" t="s">
        <v>21</v>
      </c>
      <c r="B422" s="110">
        <f>+B418+B421</f>
        <v>0</v>
      </c>
      <c r="C422" s="110">
        <f>+C418+C421</f>
        <v>0</v>
      </c>
      <c r="D422" s="110">
        <f>+D418+D421</f>
        <v>0</v>
      </c>
      <c r="E422" s="110">
        <f>+E418+E421</f>
        <v>0</v>
      </c>
      <c r="F422" s="110">
        <f>+F418+F421</f>
        <v>0</v>
      </c>
      <c r="G422" s="110">
        <f t="shared" ref="G422:K422" si="697">+G418+G421</f>
        <v>0</v>
      </c>
      <c r="H422" s="110">
        <f t="shared" si="697"/>
        <v>0</v>
      </c>
      <c r="I422" s="110">
        <f t="shared" si="697"/>
        <v>0</v>
      </c>
      <c r="J422" s="110">
        <f t="shared" si="697"/>
        <v>0</v>
      </c>
      <c r="K422" s="110">
        <f t="shared" si="697"/>
        <v>0</v>
      </c>
      <c r="Q422" s="164"/>
      <c r="R422" s="121" t="str">
        <f t="shared" si="693"/>
        <v>Stipend (Fall)</v>
      </c>
      <c r="S422" s="120">
        <f t="shared" ref="S422:AB422" si="698">IF(RIGHT($R422,8)="(Summer)",ROUND(S406*HLOOKUP(S418,CoPI_4_GRARateTbl,3,FALSE),0))+IF(RIGHT($R422,8)&lt;&gt;"(Summer)",ROUND(S406*HLOOKUP(S418,CoPI_4_GRARateTbl,2,FALSE)/2,0))</f>
        <v>0</v>
      </c>
      <c r="T422" s="120">
        <f t="shared" si="698"/>
        <v>0</v>
      </c>
      <c r="U422" s="120">
        <f t="shared" si="698"/>
        <v>0</v>
      </c>
      <c r="V422" s="120">
        <f t="shared" si="698"/>
        <v>0</v>
      </c>
      <c r="W422" s="120">
        <f t="shared" si="698"/>
        <v>0</v>
      </c>
      <c r="X422" s="120">
        <f t="shared" si="698"/>
        <v>0</v>
      </c>
      <c r="Y422" s="120">
        <f t="shared" si="698"/>
        <v>0</v>
      </c>
      <c r="Z422" s="120">
        <f t="shared" si="698"/>
        <v>0</v>
      </c>
      <c r="AA422" s="120">
        <f t="shared" si="698"/>
        <v>0</v>
      </c>
      <c r="AB422" s="120">
        <f t="shared" si="698"/>
        <v>0</v>
      </c>
    </row>
    <row r="423" spans="1:28" x14ac:dyDescent="0.25">
      <c r="A423" s="164"/>
      <c r="I423" s="23"/>
      <c r="J423" s="23"/>
      <c r="K423" s="23"/>
      <c r="L423" s="23"/>
      <c r="M423" s="23"/>
      <c r="N423" s="23"/>
      <c r="Q423" s="164"/>
      <c r="R423" s="121" t="str">
        <f t="shared" si="693"/>
        <v>Tuition (Spring)</v>
      </c>
      <c r="S423" s="120">
        <f t="shared" ref="S423:AB423" si="699">IF(RIGHT($R423,8)="(Summer)",0,ROUND(S404*HLOOKUP(S416,CoPI_4_GRARateTbl,5,FALSE)/2,0))</f>
        <v>0</v>
      </c>
      <c r="T423" s="120">
        <f t="shared" si="699"/>
        <v>0</v>
      </c>
      <c r="U423" s="120">
        <f t="shared" si="699"/>
        <v>0</v>
      </c>
      <c r="V423" s="120">
        <f t="shared" si="699"/>
        <v>0</v>
      </c>
      <c r="W423" s="120">
        <f t="shared" si="699"/>
        <v>0</v>
      </c>
      <c r="X423" s="120">
        <f t="shared" si="699"/>
        <v>0</v>
      </c>
      <c r="Y423" s="120">
        <f t="shared" si="699"/>
        <v>0</v>
      </c>
      <c r="Z423" s="120">
        <f t="shared" si="699"/>
        <v>0</v>
      </c>
      <c r="AA423" s="120">
        <f t="shared" si="699"/>
        <v>0</v>
      </c>
      <c r="AB423" s="120">
        <f t="shared" si="699"/>
        <v>0</v>
      </c>
    </row>
    <row r="424" spans="1:28" x14ac:dyDescent="0.25">
      <c r="A424" s="178" t="s">
        <v>88</v>
      </c>
      <c r="B424" s="104" t="str">
        <f t="shared" ref="B424:L424" si="700">IF(AND(B425=$AE$5,$O426=9),$AE$3,IF(AND(B425=$AF$5,$O426=9),$AF$3,IF(AND(B425=$AG$5,$O426=9),$AG$3,IF(AND(B425=$AH$5,$O426=9),$AH$3,IF(AND(B425=$AI$5,$O426=9),$AI$3,IF(AND(B425=$AJ$5,$O426=9),$AJ$3,IF(AND(B425=$AK$5,$O426=9),$AK$3,IF(AND(B425=$AL$5,$O426=9),$AL$3,IF(AND(B425=$AM$5,$O426=9),$AM$3,IF(AND(B425=$AN$5,$O426=9),$AN$3,IF(AND(B425=$AO$5,$O426=9),$AO$3,IF(AND(B425=$AP$5,$O426=9),$AJ$3,IF(AND(B425=$AE$4,$O426=12),$AE$3,IF(AND(B425=$AF$4,$O426=12),$AF$3,IF(AND(B425=$AG$4,$O426=12),$AG$3,IF(AND(B425=$AH$4,$O426=12),$AH$3,IF(AND(B425=$AI$4,$O426=12),$AI$3,IF(AND(B425=$AJ$4,$O426=12),$AJ$3,IF(AND(B425=$AK$4,$O426=12),$AK$3,IF(AND(B425=$AL$4,$O426=12),$AL$3,IF(AND(B425=$AM$4,$O426=12),$AM$3,IF(AND(B425=$AN$4,$O426=12),$AN$3,IF(AND(B425=$AO$4,$O426=12),$AO$3,IF(AND(B425=$AP$4,$O426=12),$AJ$3," "))))))))))))))))))))))))</f>
        <v>Year 1</v>
      </c>
      <c r="C424" s="104" t="str">
        <f t="shared" si="700"/>
        <v>Year 2</v>
      </c>
      <c r="D424" s="104" t="str">
        <f t="shared" si="700"/>
        <v>Year 3</v>
      </c>
      <c r="E424" s="104" t="str">
        <f t="shared" si="700"/>
        <v>Year 4</v>
      </c>
      <c r="F424" s="104" t="str">
        <f t="shared" si="700"/>
        <v>Year 5</v>
      </c>
      <c r="G424" s="104" t="str">
        <f t="shared" si="700"/>
        <v>Year 6</v>
      </c>
      <c r="H424" s="104" t="str">
        <f t="shared" si="700"/>
        <v>Year 7</v>
      </c>
      <c r="I424" s="104" t="str">
        <f t="shared" si="700"/>
        <v>Year 8</v>
      </c>
      <c r="J424" s="104" t="str">
        <f t="shared" si="700"/>
        <v>Year 9</v>
      </c>
      <c r="K424" s="104" t="str">
        <f t="shared" si="700"/>
        <v>Year 10</v>
      </c>
      <c r="L424" s="104" t="str">
        <f t="shared" si="700"/>
        <v>Year 11</v>
      </c>
      <c r="M424" s="104" t="str">
        <f t="shared" ref="M424" si="701">IF(AND(M425=$AE$5,$O426=9),$AE$3,IF(AND(M425=$AF$5,$O426=9),$AF$3,IF(AND(M425=$AG$5,$O426=9),$AG$3,IF(AND(M425=$AH$5,$O426=9),$AH$3,IF(AND(M425=$AI$5,$O426=9),$AI$3,IF(AND(M425=$AJ$5,$O426=9),$AJ$3,IF(AND(M425=$AK$5,$O426=9),$AK$3,IF(AND(M425=$AL$5,$O426=9),$AL$3,IF(AND(M425=$AM$5,$O426=9),$AM$3,IF(AND(M425=$AN$5,$O426=9),$AN$3,IF(AND(M425=$AO$5,$O426=9),$AO$3,IF(AND(M425=$AP$5,$O426=9),$AJ$3,IF(AND(M425=$AE$4,$O426=12),$AE$3,IF(AND(M425=$AF$4,$O426=12),$AF$3,IF(AND(M425=$AG$4,$O426=12),$AG$3,IF(AND(M425=$AH$4,$O426=12),$AH$3,IF(AND(M425=$AI$4,$O426=12),$AI$3,IF(AND(M425=$AJ$4,$O426=12),$AJ$3,IF(AND(M425=$AK$4,$O426=12),$AK$3,IF(AND(M425=$AL$4,$O426=12),$AL$3,IF(AND(M425=$AM$4,$O426=12),$AM$3,IF(AND(M425=$AN$4,$O426=12),$AN$3,IF(AND(M425=$AO$4,$O426=12),$AO$3,IF(AND(M425=$AP$4,$O426=12),$AJ$3," "))))))))))))))))))))))))</f>
        <v>Year 6</v>
      </c>
      <c r="N424" s="104"/>
      <c r="Q424" s="164"/>
      <c r="R424" s="121" t="str">
        <f t="shared" si="693"/>
        <v>Tuition (Summer)</v>
      </c>
      <c r="S424" s="120">
        <f t="shared" ref="S424:AB424" si="702">IF(RIGHT($R424,8)="(Summer)",0,ROUND(S405*HLOOKUP(S417,CoPI_4_GRARateTbl,5,FALSE)/2,0))</f>
        <v>0</v>
      </c>
      <c r="T424" s="120">
        <f t="shared" si="702"/>
        <v>0</v>
      </c>
      <c r="U424" s="120">
        <f t="shared" si="702"/>
        <v>0</v>
      </c>
      <c r="V424" s="120">
        <f t="shared" si="702"/>
        <v>0</v>
      </c>
      <c r="W424" s="120">
        <f t="shared" si="702"/>
        <v>0</v>
      </c>
      <c r="X424" s="120">
        <f t="shared" si="702"/>
        <v>0</v>
      </c>
      <c r="Y424" s="120">
        <f t="shared" si="702"/>
        <v>0</v>
      </c>
      <c r="Z424" s="120">
        <f t="shared" si="702"/>
        <v>0</v>
      </c>
      <c r="AA424" s="120">
        <f t="shared" si="702"/>
        <v>0</v>
      </c>
      <c r="AB424" s="120">
        <f t="shared" si="702"/>
        <v>0</v>
      </c>
    </row>
    <row r="425" spans="1:28" x14ac:dyDescent="0.25">
      <c r="A425" s="334" t="s">
        <v>29</v>
      </c>
      <c r="B425" s="55" t="str">
        <f t="shared" ref="B425:I425" si="703">+N$2</f>
        <v>FY2025</v>
      </c>
      <c r="C425" s="55" t="str">
        <f t="shared" si="703"/>
        <v>FY2026</v>
      </c>
      <c r="D425" s="55" t="str">
        <f t="shared" si="703"/>
        <v>FY2027</v>
      </c>
      <c r="E425" s="55" t="str">
        <f t="shared" si="703"/>
        <v>FY2028</v>
      </c>
      <c r="F425" s="55" t="str">
        <f t="shared" si="703"/>
        <v>FY2029</v>
      </c>
      <c r="G425" s="55" t="str">
        <f t="shared" si="703"/>
        <v>FY2030</v>
      </c>
      <c r="H425" s="55" t="str">
        <f t="shared" si="703"/>
        <v>FY2031</v>
      </c>
      <c r="I425" s="55" t="str">
        <f t="shared" si="703"/>
        <v>FY2032</v>
      </c>
      <c r="J425" s="55" t="str">
        <f t="shared" ref="J425" si="704">+V$2</f>
        <v>FY2033</v>
      </c>
      <c r="K425" s="55" t="str">
        <f t="shared" ref="K425:M425" si="705">+W$2</f>
        <v>FY2034</v>
      </c>
      <c r="L425" s="55" t="str">
        <f t="shared" si="705"/>
        <v>FY2035</v>
      </c>
      <c r="M425" s="55" t="str">
        <f t="shared" si="705"/>
        <v>FY2036</v>
      </c>
      <c r="N425" s="55"/>
      <c r="O425" s="32" t="s">
        <v>20</v>
      </c>
      <c r="P425" s="89" t="s">
        <v>64</v>
      </c>
      <c r="Q425" s="179"/>
      <c r="R425" s="121" t="str">
        <f t="shared" si="693"/>
        <v>Tuition (Fall)</v>
      </c>
      <c r="S425" s="120">
        <f t="shared" ref="S425:AB425" si="706">IF(RIGHT($R425,8)="(Summer)",0,ROUND(S406*HLOOKUP(S418,CoPI_4_GRARateTbl,5,FALSE)/2,0))</f>
        <v>0</v>
      </c>
      <c r="T425" s="120">
        <f t="shared" si="706"/>
        <v>0</v>
      </c>
      <c r="U425" s="120">
        <f t="shared" si="706"/>
        <v>0</v>
      </c>
      <c r="V425" s="120">
        <f t="shared" si="706"/>
        <v>0</v>
      </c>
      <c r="W425" s="120">
        <f t="shared" si="706"/>
        <v>0</v>
      </c>
      <c r="X425" s="120">
        <f t="shared" si="706"/>
        <v>0</v>
      </c>
      <c r="Y425" s="120">
        <f t="shared" si="706"/>
        <v>0</v>
      </c>
      <c r="Z425" s="120">
        <f t="shared" si="706"/>
        <v>0</v>
      </c>
      <c r="AA425" s="120">
        <f t="shared" si="706"/>
        <v>0</v>
      </c>
      <c r="AB425" s="120">
        <f t="shared" si="706"/>
        <v>0</v>
      </c>
    </row>
    <row r="426" spans="1:28" x14ac:dyDescent="0.25">
      <c r="A426" s="168" t="str">
        <f>CONCATENATE("Base Salary: ",O426," month term")</f>
        <v>Base Salary: 12 month term</v>
      </c>
      <c r="B426" s="313">
        <v>0</v>
      </c>
      <c r="C426" s="440">
        <f>ROUND(+B426*(1+(HLOOKUP(C425,FringeAndIDCRates,11,FALSE))),0)</f>
        <v>0</v>
      </c>
      <c r="D426" s="109">
        <f t="shared" ref="D426" si="707">ROUND(+C426*(1+$P$507),0)</f>
        <v>0</v>
      </c>
      <c r="E426" s="109">
        <f t="shared" ref="E426" si="708">ROUND(+D426*(1+$P$507),0)</f>
        <v>0</v>
      </c>
      <c r="F426" s="109">
        <f t="shared" ref="F426" si="709">ROUND(+E426*(1+$P$507),0)</f>
        <v>0</v>
      </c>
      <c r="G426" s="109">
        <f t="shared" ref="G426" si="710">ROUND(+F426*(1+$P$507),0)</f>
        <v>0</v>
      </c>
      <c r="H426" s="109">
        <f t="shared" ref="H426" si="711">ROUND(+G426*(1+$P$507),0)</f>
        <v>0</v>
      </c>
      <c r="I426" s="109">
        <f t="shared" ref="I426" si="712">ROUND(+H426*(1+$P$507),0)</f>
        <v>0</v>
      </c>
      <c r="J426" s="109">
        <f t="shared" ref="J426" si="713">ROUND(+I426*(1+$P$507),0)</f>
        <v>0</v>
      </c>
      <c r="K426" s="109">
        <f t="shared" ref="K426" si="714">ROUND(+J426*(1+$P$507),0)</f>
        <v>0</v>
      </c>
      <c r="L426" s="109">
        <f t="shared" ref="L426" si="715">ROUND(+K426*(1+$P$507),0)</f>
        <v>0</v>
      </c>
      <c r="M426" s="109">
        <f t="shared" ref="M426" si="716">ROUND(+L426*(1+$P$507),0)</f>
        <v>0</v>
      </c>
      <c r="N426" s="109"/>
      <c r="O426" s="310">
        <v>12</v>
      </c>
      <c r="P426" s="311">
        <v>0.03</v>
      </c>
      <c r="Q426" s="181"/>
      <c r="R426" s="121" t="str">
        <f t="shared" si="693"/>
        <v>Health Insurance (Spring)</v>
      </c>
      <c r="S426" s="120">
        <f t="shared" ref="S426:AB426" si="717">IF(RIGHT($R426,8)="(Summer)",0,ROUND(S404*HLOOKUP(S416,CoPI_4_GRARateTbl,6,FALSE)/2,0))</f>
        <v>0</v>
      </c>
      <c r="T426" s="120">
        <f t="shared" si="717"/>
        <v>0</v>
      </c>
      <c r="U426" s="120">
        <f t="shared" si="717"/>
        <v>0</v>
      </c>
      <c r="V426" s="120">
        <f t="shared" si="717"/>
        <v>0</v>
      </c>
      <c r="W426" s="120">
        <f t="shared" si="717"/>
        <v>0</v>
      </c>
      <c r="X426" s="120">
        <f t="shared" si="717"/>
        <v>0</v>
      </c>
      <c r="Y426" s="120">
        <f t="shared" si="717"/>
        <v>0</v>
      </c>
      <c r="Z426" s="120">
        <f t="shared" si="717"/>
        <v>0</v>
      </c>
      <c r="AA426" s="120">
        <f t="shared" si="717"/>
        <v>0</v>
      </c>
      <c r="AB426" s="120">
        <f t="shared" si="717"/>
        <v>0</v>
      </c>
    </row>
    <row r="427" spans="1:28" x14ac:dyDescent="0.25">
      <c r="A427" s="168" t="s">
        <v>44</v>
      </c>
      <c r="B427" s="312">
        <v>0</v>
      </c>
      <c r="C427" s="312">
        <v>0</v>
      </c>
      <c r="D427" s="312">
        <v>0</v>
      </c>
      <c r="E427" s="312">
        <v>0</v>
      </c>
      <c r="F427" s="312">
        <v>0</v>
      </c>
      <c r="G427" s="312">
        <v>0</v>
      </c>
      <c r="H427" s="312">
        <v>0</v>
      </c>
      <c r="I427" s="312">
        <v>0</v>
      </c>
      <c r="J427" s="312">
        <v>0</v>
      </c>
      <c r="K427" s="312">
        <v>0</v>
      </c>
      <c r="L427" s="312">
        <v>0</v>
      </c>
      <c r="M427" s="312">
        <v>0</v>
      </c>
      <c r="N427" s="400"/>
      <c r="O427" s="25"/>
      <c r="P427" s="25"/>
      <c r="Q427" s="168"/>
      <c r="R427" s="121" t="str">
        <f t="shared" si="693"/>
        <v>Health Insurance (Summer)</v>
      </c>
      <c r="S427" s="120">
        <f t="shared" ref="S427:AB427" si="718">IF(RIGHT($R427,8)="(Summer)",0,ROUND(S405*HLOOKUP(S417,CoPI_4_GRARateTbl,6,FALSE)/2,0))</f>
        <v>0</v>
      </c>
      <c r="T427" s="120">
        <f t="shared" si="718"/>
        <v>0</v>
      </c>
      <c r="U427" s="120">
        <f t="shared" si="718"/>
        <v>0</v>
      </c>
      <c r="V427" s="120">
        <f t="shared" si="718"/>
        <v>0</v>
      </c>
      <c r="W427" s="120">
        <f t="shared" si="718"/>
        <v>0</v>
      </c>
      <c r="X427" s="120">
        <f t="shared" si="718"/>
        <v>0</v>
      </c>
      <c r="Y427" s="120">
        <f t="shared" si="718"/>
        <v>0</v>
      </c>
      <c r="Z427" s="120">
        <f t="shared" si="718"/>
        <v>0</v>
      </c>
      <c r="AA427" s="120">
        <f t="shared" si="718"/>
        <v>0</v>
      </c>
      <c r="AB427" s="120">
        <f t="shared" si="718"/>
        <v>0</v>
      </c>
    </row>
    <row r="428" spans="1:28" x14ac:dyDescent="0.25">
      <c r="A428" s="168" t="str">
        <f>CONCATENATE("FTE for ",O426," Months")</f>
        <v>FTE for 12 Months</v>
      </c>
      <c r="B428" s="393">
        <f t="shared" ref="B428:L428" si="719">+B427/$O426</f>
        <v>0</v>
      </c>
      <c r="C428" s="393">
        <f t="shared" si="719"/>
        <v>0</v>
      </c>
      <c r="D428" s="393">
        <f t="shared" si="719"/>
        <v>0</v>
      </c>
      <c r="E428" s="393">
        <f t="shared" si="719"/>
        <v>0</v>
      </c>
      <c r="F428" s="393">
        <f t="shared" si="719"/>
        <v>0</v>
      </c>
      <c r="G428" s="393">
        <f t="shared" si="719"/>
        <v>0</v>
      </c>
      <c r="H428" s="393">
        <f t="shared" si="719"/>
        <v>0</v>
      </c>
      <c r="I428" s="393">
        <f t="shared" si="719"/>
        <v>0</v>
      </c>
      <c r="J428" s="393">
        <f t="shared" si="719"/>
        <v>0</v>
      </c>
      <c r="K428" s="393">
        <f t="shared" si="719"/>
        <v>0</v>
      </c>
      <c r="L428" s="393">
        <f t="shared" si="719"/>
        <v>0</v>
      </c>
      <c r="M428" s="393">
        <f t="shared" ref="M428" si="720">+M427/$O426</f>
        <v>0</v>
      </c>
      <c r="N428" s="401"/>
      <c r="O428" s="89"/>
      <c r="P428" s="89"/>
      <c r="Q428" s="179"/>
      <c r="R428" s="121" t="str">
        <f t="shared" si="693"/>
        <v>Health Insurance (Fall)</v>
      </c>
      <c r="S428" s="120">
        <f t="shared" ref="S428:AB428" si="721">IF(RIGHT($R428,8)="(Summer)",0,ROUND(S406*HLOOKUP(S418,CoPI_4_GRARateTbl,6,FALSE)/2,0))</f>
        <v>0</v>
      </c>
      <c r="T428" s="120">
        <f t="shared" si="721"/>
        <v>0</v>
      </c>
      <c r="U428" s="120">
        <f t="shared" si="721"/>
        <v>0</v>
      </c>
      <c r="V428" s="120">
        <f t="shared" si="721"/>
        <v>0</v>
      </c>
      <c r="W428" s="120">
        <f t="shared" si="721"/>
        <v>0</v>
      </c>
      <c r="X428" s="120">
        <f t="shared" si="721"/>
        <v>0</v>
      </c>
      <c r="Y428" s="120">
        <f t="shared" si="721"/>
        <v>0</v>
      </c>
      <c r="Z428" s="120">
        <f t="shared" si="721"/>
        <v>0</v>
      </c>
      <c r="AA428" s="120">
        <f t="shared" si="721"/>
        <v>0</v>
      </c>
      <c r="AB428" s="120">
        <f t="shared" si="721"/>
        <v>0</v>
      </c>
    </row>
    <row r="429" spans="1:28" ht="15.75" thickBot="1" x14ac:dyDescent="0.3">
      <c r="A429" s="168" t="s">
        <v>21</v>
      </c>
      <c r="B429" s="110">
        <f t="shared" ref="B429:K429" si="722">ROUND((B426*B428*$Q$41)+(C426*B428*$Q$42),0)</f>
        <v>0</v>
      </c>
      <c r="C429" s="110">
        <f t="shared" si="722"/>
        <v>0</v>
      </c>
      <c r="D429" s="110">
        <f t="shared" si="722"/>
        <v>0</v>
      </c>
      <c r="E429" s="110">
        <f t="shared" si="722"/>
        <v>0</v>
      </c>
      <c r="F429" s="110">
        <f t="shared" si="722"/>
        <v>0</v>
      </c>
      <c r="G429" s="110">
        <f t="shared" si="722"/>
        <v>0</v>
      </c>
      <c r="H429" s="110">
        <f t="shared" si="722"/>
        <v>0</v>
      </c>
      <c r="I429" s="110">
        <f t="shared" si="722"/>
        <v>0</v>
      </c>
      <c r="J429" s="110">
        <f t="shared" si="722"/>
        <v>0</v>
      </c>
      <c r="K429" s="110">
        <f t="shared" si="722"/>
        <v>0</v>
      </c>
      <c r="L429" s="110">
        <f>ROUND((L426*L428*$Q$41)+(N426*L428*$Q$42),0)</f>
        <v>0</v>
      </c>
      <c r="M429" s="110">
        <f>ROUND((M426*M428*$Q$41)+(O426*M428*$Q$42),0)</f>
        <v>0</v>
      </c>
      <c r="N429" s="402"/>
      <c r="O429" s="89"/>
      <c r="P429" s="89"/>
      <c r="Q429" s="179"/>
      <c r="R429" s="38" t="s">
        <v>31</v>
      </c>
      <c r="S429" s="39">
        <f>SUM(S420:S428)</f>
        <v>0</v>
      </c>
      <c r="T429" s="39">
        <f>SUM(T420:T428)</f>
        <v>0</v>
      </c>
      <c r="U429" s="39">
        <f>SUM(U420:U428)</f>
        <v>0</v>
      </c>
      <c r="V429" s="39">
        <f>SUM(V420:V428)</f>
        <v>0</v>
      </c>
      <c r="W429" s="39">
        <f t="shared" ref="W429" si="723">SUM(W420:W428)</f>
        <v>0</v>
      </c>
      <c r="X429" s="39">
        <f t="shared" ref="X429" si="724">SUM(X420:X428)</f>
        <v>0</v>
      </c>
      <c r="Y429" s="39">
        <f t="shared" ref="Y429" si="725">SUM(Y420:Y428)</f>
        <v>0</v>
      </c>
      <c r="Z429" s="39">
        <f t="shared" ref="Z429" si="726">SUM(Z420:Z428)</f>
        <v>0</v>
      </c>
      <c r="AA429" s="39">
        <f t="shared" ref="AA429" si="727">SUM(AA420:AA428)</f>
        <v>0</v>
      </c>
      <c r="AB429" s="39">
        <f t="shared" ref="AB429" si="728">SUM(AB420:AB428)</f>
        <v>0</v>
      </c>
    </row>
    <row r="430" spans="1:28" x14ac:dyDescent="0.25">
      <c r="P430" s="89"/>
      <c r="Q430" s="179"/>
      <c r="R430" s="228"/>
      <c r="S430" s="229"/>
      <c r="T430" s="229"/>
      <c r="U430" s="229"/>
      <c r="V430" s="229"/>
      <c r="W430" s="229"/>
      <c r="X430" s="229"/>
      <c r="Y430" s="229"/>
      <c r="Z430" s="229"/>
      <c r="AA430" s="229"/>
      <c r="AB430" s="229"/>
    </row>
    <row r="432" spans="1:28" x14ac:dyDescent="0.25">
      <c r="A432" s="212" t="str">
        <f ca="1">+A19</f>
        <v>Co-PI Budget (5)</v>
      </c>
      <c r="B432" s="213"/>
      <c r="C432" s="213"/>
      <c r="D432" s="213"/>
      <c r="E432" s="213"/>
      <c r="F432" s="213"/>
      <c r="G432" s="213"/>
      <c r="H432" s="213"/>
      <c r="I432" s="213"/>
      <c r="J432" s="213"/>
      <c r="K432" s="213"/>
      <c r="L432" s="213"/>
      <c r="M432" s="213"/>
      <c r="N432" s="213"/>
      <c r="O432" s="213"/>
    </row>
    <row r="433" spans="1:17" x14ac:dyDescent="0.25">
      <c r="A433" s="134" t="s">
        <v>50</v>
      </c>
      <c r="B433" s="214" t="str">
        <f>+B19</f>
        <v>Co-PI</v>
      </c>
      <c r="C433" s="213"/>
      <c r="D433" s="213"/>
      <c r="E433" s="213"/>
      <c r="F433" s="213"/>
      <c r="G433" s="213"/>
      <c r="H433" s="213"/>
      <c r="I433" s="213"/>
      <c r="J433" s="213"/>
      <c r="K433" s="213"/>
      <c r="L433" s="213"/>
      <c r="M433" s="213"/>
      <c r="N433" s="213"/>
      <c r="O433" s="213"/>
    </row>
    <row r="434" spans="1:17" x14ac:dyDescent="0.25">
      <c r="A434" s="134" t="s">
        <v>53</v>
      </c>
      <c r="B434" s="335" t="s">
        <v>57</v>
      </c>
      <c r="C434" s="213"/>
      <c r="D434" s="213"/>
      <c r="E434" s="213"/>
      <c r="F434" s="213"/>
      <c r="G434" s="213"/>
      <c r="H434" s="213"/>
      <c r="I434" s="213"/>
      <c r="J434" s="213"/>
      <c r="K434" s="213"/>
      <c r="L434" s="213"/>
      <c r="M434" s="213"/>
      <c r="N434" s="213"/>
      <c r="O434" s="213"/>
    </row>
    <row r="435" spans="1:17" x14ac:dyDescent="0.25">
      <c r="A435" s="134" t="s">
        <v>53</v>
      </c>
      <c r="B435" s="335" t="s">
        <v>57</v>
      </c>
      <c r="C435" s="213"/>
      <c r="D435" s="213"/>
      <c r="E435" s="213"/>
      <c r="F435" s="213"/>
      <c r="G435" s="213"/>
      <c r="H435" s="213"/>
      <c r="I435" s="213"/>
      <c r="J435" s="213"/>
      <c r="K435" s="213"/>
      <c r="L435" s="213"/>
      <c r="M435" s="213"/>
      <c r="N435" s="213"/>
      <c r="O435" s="213"/>
    </row>
    <row r="436" spans="1:17" x14ac:dyDescent="0.25">
      <c r="A436" s="134" t="s">
        <v>113</v>
      </c>
      <c r="B436" s="336" t="s">
        <v>95</v>
      </c>
      <c r="C436" s="213"/>
      <c r="D436" s="226"/>
      <c r="E436" s="213"/>
      <c r="F436" s="213"/>
      <c r="G436" s="213"/>
      <c r="H436" s="213"/>
      <c r="I436" s="213"/>
      <c r="J436" s="213"/>
      <c r="K436" s="213"/>
      <c r="L436" s="213"/>
      <c r="M436" s="213"/>
      <c r="N436" s="213"/>
      <c r="O436" s="213"/>
    </row>
    <row r="437" spans="1:17" x14ac:dyDescent="0.25">
      <c r="A437" s="134" t="s">
        <v>134</v>
      </c>
      <c r="B437" s="336" t="str">
        <f>+$B$32</f>
        <v>On</v>
      </c>
      <c r="C437" s="213"/>
      <c r="D437" s="226"/>
      <c r="E437" s="213"/>
      <c r="F437" s="213"/>
      <c r="G437" s="213"/>
      <c r="H437" s="213"/>
      <c r="I437" s="213"/>
      <c r="J437" s="213"/>
      <c r="K437" s="213"/>
      <c r="L437" s="213"/>
      <c r="M437" s="213"/>
      <c r="N437" s="213"/>
      <c r="O437" s="213"/>
    </row>
    <row r="438" spans="1:17" x14ac:dyDescent="0.25">
      <c r="A438" s="213"/>
      <c r="B438" s="213"/>
      <c r="C438" s="213"/>
      <c r="D438" s="213"/>
      <c r="E438" s="213"/>
      <c r="F438" s="213"/>
      <c r="G438" s="213"/>
      <c r="H438" s="213"/>
      <c r="I438" s="213"/>
      <c r="J438" s="213"/>
      <c r="K438" s="213"/>
      <c r="L438" s="213"/>
      <c r="M438" s="213"/>
      <c r="N438" s="213"/>
      <c r="O438" s="213"/>
    </row>
    <row r="439" spans="1:17" x14ac:dyDescent="0.25">
      <c r="A439" s="134" t="s">
        <v>97</v>
      </c>
      <c r="B439" s="337" t="s">
        <v>95</v>
      </c>
      <c r="C439" s="213"/>
      <c r="D439" s="213"/>
      <c r="E439" s="213"/>
      <c r="F439" s="213"/>
      <c r="G439" s="213"/>
      <c r="H439" s="213"/>
      <c r="I439" s="213"/>
      <c r="J439" s="213"/>
      <c r="K439" s="213"/>
      <c r="L439" s="213"/>
      <c r="M439" s="213"/>
      <c r="N439" s="213"/>
      <c r="O439" s="213"/>
    </row>
    <row r="440" spans="1:17" x14ac:dyDescent="0.25">
      <c r="A440" s="134" t="s">
        <v>98</v>
      </c>
      <c r="B440" s="337" t="s">
        <v>95</v>
      </c>
      <c r="C440" s="213"/>
      <c r="D440" s="213"/>
      <c r="E440" s="226"/>
      <c r="F440" s="213"/>
      <c r="G440" s="213"/>
      <c r="H440" s="213"/>
      <c r="I440" s="213"/>
      <c r="J440" s="213"/>
      <c r="K440" s="213"/>
      <c r="L440" s="213"/>
      <c r="M440" s="213"/>
      <c r="N440" s="213"/>
      <c r="O440" s="213"/>
    </row>
    <row r="441" spans="1:17" x14ac:dyDescent="0.25">
      <c r="A441" s="213"/>
      <c r="B441" s="215"/>
      <c r="C441" s="213"/>
      <c r="D441" s="213"/>
      <c r="E441" s="213"/>
      <c r="F441" s="213"/>
      <c r="G441" s="213"/>
      <c r="H441" s="213"/>
      <c r="I441" s="216"/>
      <c r="J441" s="216"/>
      <c r="K441" s="216"/>
      <c r="L441" s="216"/>
      <c r="M441" s="216"/>
      <c r="N441" s="216"/>
      <c r="O441" s="216"/>
      <c r="Q441" s="102"/>
    </row>
    <row r="442" spans="1:17" x14ac:dyDescent="0.25">
      <c r="A442" s="134" t="s">
        <v>100</v>
      </c>
      <c r="B442" s="217" t="str">
        <f>+$B$37</f>
        <v>FY2025</v>
      </c>
      <c r="C442" s="217" t="str">
        <f>+$C$37</f>
        <v>FY2026</v>
      </c>
      <c r="D442" s="217" t="str">
        <f>+$D$37</f>
        <v>FY2027</v>
      </c>
      <c r="E442" s="217" t="str">
        <f>+$E$37</f>
        <v>FY2028</v>
      </c>
      <c r="F442" s="217" t="str">
        <f>+$F$37</f>
        <v>FY2029</v>
      </c>
      <c r="G442" s="217" t="str">
        <f>+$G$37</f>
        <v>FY2030</v>
      </c>
      <c r="H442" s="217" t="str">
        <f>+$H$37</f>
        <v>FY2031</v>
      </c>
      <c r="I442" s="217" t="str">
        <f>CONCATENATE("FY",$AD$3+7)</f>
        <v>FY2032</v>
      </c>
      <c r="J442" s="217" t="str">
        <f>CONCATENATE("FY",$AD$3+8)</f>
        <v>FY2033</v>
      </c>
      <c r="K442" s="217" t="str">
        <f>CONCATENATE("FY",$AD$3+9)</f>
        <v>FY2034</v>
      </c>
      <c r="L442" s="217" t="str">
        <f>CONCATENATE("FY",$AD$3+10)</f>
        <v>FY2035</v>
      </c>
      <c r="M442" s="217" t="str">
        <f>CONCATENATE("FY",$AD$3+11)</f>
        <v>FY2036</v>
      </c>
      <c r="N442" s="216"/>
      <c r="O442" s="216"/>
      <c r="Q442" s="102"/>
    </row>
    <row r="443" spans="1:17" x14ac:dyDescent="0.25">
      <c r="A443" s="134" t="str">
        <f>IF(AND(B436="Contract College",B$6="Federal"),"   Contract (Federal) - Senior Personnel",IF(AND(B436="Contract College",B$6="Non-federal"),"   Contract (Non-federal) - Senior Personnel","   Endowed - Senior Personnel"))</f>
        <v xml:space="preserve">   Endowed - Senior Personnel</v>
      </c>
      <c r="B443" s="399">
        <f t="shared" ref="B443:M443" si="729">IF(AND($B436="Contract College",$B$6="Federal"),HLOOKUP(B442,FringeAndIDCRates,2,FALSE),IF(AND($B436="Contract College",$B$6="Non-Federal"),HLOOKUP(B442,FringeAndIDCRates,3,FALSE),HLOOKUP(B442,FringeAndIDCRates,4,FALSE)))</f>
        <v>0.35</v>
      </c>
      <c r="C443" s="399">
        <f t="shared" si="729"/>
        <v>0.35</v>
      </c>
      <c r="D443" s="399">
        <f t="shared" si="729"/>
        <v>0.35499999999999998</v>
      </c>
      <c r="E443" s="399">
        <f t="shared" si="729"/>
        <v>0.37</v>
      </c>
      <c r="F443" s="399">
        <f t="shared" si="729"/>
        <v>0.37</v>
      </c>
      <c r="G443" s="399">
        <f t="shared" si="729"/>
        <v>0.37</v>
      </c>
      <c r="H443" s="399">
        <f t="shared" si="729"/>
        <v>0.37</v>
      </c>
      <c r="I443" s="399">
        <f t="shared" si="729"/>
        <v>0.37</v>
      </c>
      <c r="J443" s="399">
        <f t="shared" si="729"/>
        <v>0.37</v>
      </c>
      <c r="K443" s="399">
        <f t="shared" si="729"/>
        <v>0.37</v>
      </c>
      <c r="L443" s="399">
        <f t="shared" si="729"/>
        <v>0.37</v>
      </c>
      <c r="M443" s="399">
        <f t="shared" si="729"/>
        <v>0.37</v>
      </c>
      <c r="N443" s="216"/>
      <c r="O443" s="216"/>
      <c r="Q443" s="102"/>
    </row>
    <row r="444" spans="1:17" x14ac:dyDescent="0.25">
      <c r="A444" s="134" t="str">
        <f>IF(AND(B$6="Federal",B439="Contract College"),"   Contract (Federal) - Post Doc",IF(AND(B$6="Non-federal",B439="Contract College"),"   Contract (Non-federal) - Post Doc","   Endowed - Post Doc"))</f>
        <v xml:space="preserve">   Endowed - Post Doc</v>
      </c>
      <c r="B444" s="399">
        <f t="shared" ref="B444:M444" si="730">IF($B439="Endowed College",HLOOKUP(B$37,FringeAndIDCRates,4,FALSE),IF($B$6="Federal",HLOOKUP(B$37,FringeAndIDCRates,2,FALSE),IF($B$6="Non-Federal",HLOOKUP(B$37,FringeAndIDCRates,3,FALSE))))</f>
        <v>0.35</v>
      </c>
      <c r="C444" s="399">
        <f t="shared" si="730"/>
        <v>0.35</v>
      </c>
      <c r="D444" s="399">
        <f t="shared" si="730"/>
        <v>0.35499999999999998</v>
      </c>
      <c r="E444" s="399">
        <f t="shared" si="730"/>
        <v>0.37</v>
      </c>
      <c r="F444" s="399">
        <f t="shared" si="730"/>
        <v>0.37</v>
      </c>
      <c r="G444" s="399">
        <f t="shared" si="730"/>
        <v>0.37</v>
      </c>
      <c r="H444" s="399">
        <f t="shared" si="730"/>
        <v>0.37</v>
      </c>
      <c r="I444" s="399">
        <f t="shared" si="730"/>
        <v>0.37</v>
      </c>
      <c r="J444" s="399">
        <f t="shared" si="730"/>
        <v>0.37</v>
      </c>
      <c r="K444" s="399">
        <f t="shared" si="730"/>
        <v>0.37</v>
      </c>
      <c r="L444" s="399">
        <f t="shared" si="730"/>
        <v>0.37</v>
      </c>
      <c r="M444" s="399">
        <f t="shared" si="730"/>
        <v>0.37</v>
      </c>
      <c r="N444" s="216"/>
      <c r="O444" s="216"/>
      <c r="Q444" s="102"/>
    </row>
    <row r="445" spans="1:17" x14ac:dyDescent="0.25">
      <c r="A445" s="134" t="str">
        <f>IF(AND(B$6="Federal",B440="Contract College"),"   Contract (Federal) - Other Employee",IF(AND(B$6="Non-federal",B440="Contract College"),"   Contract (Non-federal) - Other Empolyee","   Endowed - Other Employee"))</f>
        <v xml:space="preserve">   Endowed - Other Employee</v>
      </c>
      <c r="B445" s="399">
        <f t="shared" ref="B445:M445" si="731">IF($B440="Endowed College",HLOOKUP(B$37,FringeAndIDCRates,4,FALSE),IF($B$6="Federal",HLOOKUP(B$37,FringeAndIDCRates,2,FALSE),IF($B$6="Non-Federal",HLOOKUP(B$37,FringeAndIDCRates,3,FALSE))))</f>
        <v>0.35</v>
      </c>
      <c r="C445" s="399">
        <f t="shared" si="731"/>
        <v>0.35</v>
      </c>
      <c r="D445" s="399">
        <f t="shared" si="731"/>
        <v>0.35499999999999998</v>
      </c>
      <c r="E445" s="399">
        <f t="shared" si="731"/>
        <v>0.37</v>
      </c>
      <c r="F445" s="399">
        <f t="shared" si="731"/>
        <v>0.37</v>
      </c>
      <c r="G445" s="399">
        <f t="shared" si="731"/>
        <v>0.37</v>
      </c>
      <c r="H445" s="399">
        <f t="shared" si="731"/>
        <v>0.37</v>
      </c>
      <c r="I445" s="399">
        <f t="shared" si="731"/>
        <v>0.37</v>
      </c>
      <c r="J445" s="399">
        <f t="shared" si="731"/>
        <v>0.37</v>
      </c>
      <c r="K445" s="399">
        <f t="shared" si="731"/>
        <v>0.37</v>
      </c>
      <c r="L445" s="399">
        <f t="shared" si="731"/>
        <v>0.37</v>
      </c>
      <c r="M445" s="399">
        <f t="shared" si="731"/>
        <v>0.37</v>
      </c>
      <c r="N445" s="216"/>
      <c r="O445" s="216"/>
      <c r="Q445" s="102"/>
    </row>
    <row r="446" spans="1:17" x14ac:dyDescent="0.25">
      <c r="A446" s="134" t="str">
        <f>CONCATENATE("Cornell IDC Rate - ",B436)</f>
        <v>Cornell IDC Rate - Endowed College</v>
      </c>
      <c r="B446" s="399">
        <f t="shared" ref="B446:M446" si="732">IF($B437="Off",(HLOOKUP(B$37,FringeAndIDCRates,8,FALSE)),IF(AND($B$7="Other",$B437="On"),(HLOOKUP(B$37,FringeAndIDCRates,7,FALSE)),IF(AND($B437="On",$B436="Contract College",$B$7="Research"),(HLOOKUP(B$37,FringeAndIDCRates,5,FALSE)),(HLOOKUP(B$37,FringeAndIDCRates,6,FALSE)))))</f>
        <v>0.64</v>
      </c>
      <c r="C446" s="399">
        <f t="shared" si="732"/>
        <v>0.64</v>
      </c>
      <c r="D446" s="399">
        <f t="shared" si="732"/>
        <v>0.64</v>
      </c>
      <c r="E446" s="399">
        <f t="shared" si="732"/>
        <v>0.64</v>
      </c>
      <c r="F446" s="399">
        <f t="shared" si="732"/>
        <v>0.64</v>
      </c>
      <c r="G446" s="399">
        <f t="shared" si="732"/>
        <v>0.64</v>
      </c>
      <c r="H446" s="399">
        <f t="shared" si="732"/>
        <v>0.64</v>
      </c>
      <c r="I446" s="399">
        <f t="shared" si="732"/>
        <v>0.64</v>
      </c>
      <c r="J446" s="399">
        <f t="shared" si="732"/>
        <v>0.64</v>
      </c>
      <c r="K446" s="399">
        <f t="shared" si="732"/>
        <v>0.64</v>
      </c>
      <c r="L446" s="399">
        <f t="shared" si="732"/>
        <v>0.64</v>
      </c>
      <c r="M446" s="399">
        <f t="shared" si="732"/>
        <v>0.64</v>
      </c>
      <c r="N446" s="216"/>
      <c r="O446" s="216"/>
      <c r="Q446" s="102"/>
    </row>
    <row r="447" spans="1:17" x14ac:dyDescent="0.25">
      <c r="A447" s="134" t="str">
        <f>IF($B$8="Yes","","Rate Allowed by Sponsor:")</f>
        <v/>
      </c>
      <c r="B447" s="217" t="str">
        <f t="shared" ref="B447:M447" si="733">IF($B$8="Yes","",IF($B$8="No",HLOOKUP(B$37,FringeAndIDCRates,9,FALSE),(HLOOKUP(B$37,FringeAndIDCRates,9,FALSE))))</f>
        <v/>
      </c>
      <c r="C447" s="217" t="str">
        <f t="shared" si="733"/>
        <v/>
      </c>
      <c r="D447" s="217" t="str">
        <f t="shared" si="733"/>
        <v/>
      </c>
      <c r="E447" s="217" t="str">
        <f t="shared" si="733"/>
        <v/>
      </c>
      <c r="F447" s="217" t="str">
        <f t="shared" si="733"/>
        <v/>
      </c>
      <c r="G447" s="217" t="str">
        <f t="shared" si="733"/>
        <v/>
      </c>
      <c r="H447" s="217" t="str">
        <f t="shared" si="733"/>
        <v/>
      </c>
      <c r="I447" s="217" t="str">
        <f t="shared" si="733"/>
        <v/>
      </c>
      <c r="J447" s="217" t="str">
        <f t="shared" si="733"/>
        <v/>
      </c>
      <c r="K447" s="217" t="str">
        <f t="shared" si="733"/>
        <v/>
      </c>
      <c r="L447" s="217" t="str">
        <f t="shared" si="733"/>
        <v/>
      </c>
      <c r="M447" s="217" t="str">
        <f t="shared" si="733"/>
        <v/>
      </c>
      <c r="N447" s="238"/>
      <c r="O447" s="238"/>
      <c r="Q447" s="102"/>
    </row>
    <row r="448" spans="1:17" x14ac:dyDescent="0.25">
      <c r="B448" s="53"/>
      <c r="C448" s="53"/>
      <c r="D448" s="53"/>
      <c r="E448" s="53"/>
      <c r="F448" s="53"/>
      <c r="G448" s="53"/>
      <c r="H448" s="53"/>
    </row>
    <row r="449" spans="1:22" ht="20.25" x14ac:dyDescent="0.3">
      <c r="A449" s="40" t="s">
        <v>55</v>
      </c>
      <c r="B449" s="104"/>
      <c r="C449" s="104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N449" s="104"/>
    </row>
    <row r="450" spans="1:22" ht="15.75" x14ac:dyDescent="0.25">
      <c r="A450" s="105" t="s">
        <v>87</v>
      </c>
      <c r="B450" s="106" t="str">
        <f>IF(B453=$AE$5,$AE$8,IF(B453=$AF$5,$AF$8,IF(B453=$AG$5,$AG$8,IF(B453=$AH$5,$AH$8,IF(B453=$AI$5,$AI$8,IF(B453=$AJ$5,$AJ$8,IF(B453=$AK$5,$AK$8,IF(B453=$AL$5,$AL$8,IF(B453=$AM$5,$AM$8,IF(B453=$AN$5,$AN$8,IF(B453=$AO$5,$AO$8,IF(B453=$AP$5,$AP$8," "))))))))))))</f>
        <v xml:space="preserve"> </v>
      </c>
      <c r="C450" s="106" t="str">
        <f t="shared" ref="C450:M450" si="734">IF(C453=$AE$5,$AE$8,IF(C453=$AF$5,$AF$8,IF(C453=$AG$5,$AG$8,IF(C453=$AH$5,$AH$8,IF(C453=$AI$5,$AI$8,IF(C453=$AJ$5,$AJ$8,IF(C453=$AK$5,$AK$8,IF(C453=$AL$5,$AL$8,IF(C453=$AM$5,$AM$8,IF(C453=$AN$5,$AN$8,IF(C453=$AO$5,$AO$8,IF(C453=$AP$5,$AP$8," "))))))))))))</f>
        <v>2025-2025</v>
      </c>
      <c r="D450" s="106" t="str">
        <f t="shared" si="734"/>
        <v>2026-2026</v>
      </c>
      <c r="E450" s="106" t="str">
        <f t="shared" si="734"/>
        <v>2027-2027</v>
      </c>
      <c r="F450" s="106" t="str">
        <f t="shared" si="734"/>
        <v>2028-2028</v>
      </c>
      <c r="G450" s="106" t="str">
        <f t="shared" si="734"/>
        <v>2029-2029</v>
      </c>
      <c r="H450" s="106" t="str">
        <f t="shared" si="734"/>
        <v>2030-2030</v>
      </c>
      <c r="I450" s="106" t="str">
        <f t="shared" si="734"/>
        <v>2031-2031</v>
      </c>
      <c r="J450" s="106" t="str">
        <f t="shared" si="734"/>
        <v>2032-2032</v>
      </c>
      <c r="K450" s="106" t="str">
        <f t="shared" si="734"/>
        <v>2033-2033</v>
      </c>
      <c r="L450" s="106" t="str">
        <f t="shared" si="734"/>
        <v>2034-2034</v>
      </c>
      <c r="M450" s="106" t="str">
        <f t="shared" si="734"/>
        <v>2035-2035</v>
      </c>
      <c r="N450" s="106" t="str">
        <f t="shared" ref="N450" si="735">IF(N453=$AE$5,$AE$8,IF(N453=$AF$5,$AF$8,IF(N453=$AG$5,$AG$8,IF(N453=$AH$5,$AH$8,IF(N453=$AI$5,$AI$8,IF(N453=$AJ$5,$AJ$8,IF(N453=$AK$5,$AK$8,IF(N453=$AL$5,$AL$8,IF(N453=$AM$5,$AM$8,IF(N453=$AN$5,$AN$8,IF(N453=$AO$5,$AO$8,IF(N453=$AP$5,$AP$8," "))))))))))))</f>
        <v>2036-2036</v>
      </c>
    </row>
    <row r="452" spans="1:22" x14ac:dyDescent="0.25">
      <c r="A452" s="218" t="str">
        <f>CONCATENATE("Calculation based on ",O454," month salary")</f>
        <v>Calculation based on 9 month salary</v>
      </c>
      <c r="B452" s="104" t="str">
        <f t="shared" ref="B452:L452" si="736">IF(AND(B453=$AE$5,$O454=9),$AE$3,IF(AND(B453=$AF$5,$O454=9),$AF$3,IF(AND(B453=$AG$5,$O454=9),$AG$3,IF(AND(B453=$AH$5,$O454=9),$AH$3,IF(AND(B453=$AI$5,$O454=9),$AI$3,IF(AND(B453=$AJ$5,$O454=9),$AJ$3,IF(AND(B453=$AK$5,$O454=9),$AK$3,IF(AND(B453=$AL$5,$O454=9),$AL$3,IF(AND(B453=$AM$5,$O454=9),$AM$3,IF(AND(B453=$AN$5,$O454=9),$AN$3,IF(AND(B453=$AO$5,$O454=9),$AO$3,IF(AND(B453=$AP$5,$O454=9),$AJ$3,IF(AND(B453=$AE$4,$O454=12),$AE$3,IF(AND(B453=$AF$4,$O454=12),$AF$3,IF(AND(B453=$AG$4,$O454=12),$AG$3,IF(AND(B453=$AH$4,$O454=12),$AH$3,IF(AND(B453=$AI$4,$O454=12),$AI$3,IF(AND(B453=$AJ$4,$O454=12),$AJ$3,IF(AND(B453=$AK$4,$O454=12),$AK$3,IF(AND(B453=$AL$4,$O454=12),$AL$3,IF(AND(B453=$AM$4,$O454=12),$AM$3,IF(AND(B453=$AN$4,$O454=12),$AN$3,IF(AND(B453=$AO$4,$O454=12),$AO$3,IF(AND(B453=$AP$4,$O454=12),$AJ$3," "))))))))))))))))))))))))</f>
        <v xml:space="preserve"> </v>
      </c>
      <c r="C452" s="104" t="str">
        <f t="shared" si="736"/>
        <v>Year 1</v>
      </c>
      <c r="D452" s="104" t="str">
        <f t="shared" si="736"/>
        <v>Year 2</v>
      </c>
      <c r="E452" s="104" t="str">
        <f t="shared" si="736"/>
        <v>Year 3</v>
      </c>
      <c r="F452" s="104" t="str">
        <f t="shared" si="736"/>
        <v>Year 4</v>
      </c>
      <c r="G452" s="104" t="str">
        <f t="shared" si="736"/>
        <v>Year 5</v>
      </c>
      <c r="H452" s="104" t="str">
        <f t="shared" si="736"/>
        <v>Year 6</v>
      </c>
      <c r="I452" s="104" t="str">
        <f t="shared" si="736"/>
        <v>Year 7</v>
      </c>
      <c r="J452" s="104" t="str">
        <f t="shared" si="736"/>
        <v>Year 8</v>
      </c>
      <c r="K452" s="104" t="str">
        <f t="shared" si="736"/>
        <v>Year 9</v>
      </c>
      <c r="L452" s="104" t="str">
        <f t="shared" si="736"/>
        <v>Year 10</v>
      </c>
      <c r="M452" s="104" t="str">
        <f>IF(AND(M453=$AE$5,$O454=9),$AE$3,IF(AND(M453=$AF$5,$O454=9),$AF$3,IF(AND(M453=$AG$5,$O454=9),$AG$3,IF(AND(M453=$AH$5,$O454=9),$AH$3,IF(AND(M453=$AI$5,$O454=9),$AI$3,IF(AND(M453=$AJ$5,$O454=9),$AJ$3,IF(AND(M453=$AK$5,$O454=9),$AK$3,IF(AND(M453=$AL$5,$O454=9),$AL$3,IF(AND(M453=$AM$5,$O454=9),$AM$3,IF(AND(M453=$AN$5,$O454=9),$AN$3,IF(AND(M453=$AO$5,$O454=9),$AO$3,IF(AND(M453=$AP$5,$O454=9),$AP$3,IF(AND(M453=$AQ$5,$O454=9),$AJ$3,IF(AND(M453=$AE$4,$O454=12),$AE$3,IF(AND(M453=$AF$4,$O454=12),$AF$3,IF(AND(M453=$AG$4,$O454=12),$AG$3,IF(AND(M453=$AH$4,$O454=12),$AH$3,IF(AND(M453=$AI$4,$O454=12),$AI$3,IF(AND(M453=$AJ$4,$O454=12),$AJ$3,IF(AND(M453=$AK$4,$O454=12),$AK$3,IF(AND(M453=$AL$4,$O454=12),$AL$3,IF(AND(M453=$AM$4,$O454=12),$AM$3,IF(AND(M453=$AN$4,$O454=12),$AN$3,IF(AND(M453=$AO$4,$O454=12),$AO$3,IF(AND(M453=$AP$4,$O454=12),$AP$3,IF(AND(M453=$AQ$4,$O454=12),$AJ$3," "))))))))))))))))))))))))))</f>
        <v>Year 11</v>
      </c>
      <c r="N452" s="104" t="str">
        <f>IF(AND(N453=$AE$5,$O454=9),$AE$3,IF(AND(N453=$AF$5,$O454=9),$AF$3,IF(AND(N453=$AG$5,$O454=9),$AG$3,IF(AND(N453=$AH$5,$O454=9),$AH$3,IF(AND(N453=$AI$5,$O454=9),$AI$3,IF(AND(N453=$AJ$5,$O454=9),$AJ$3,IF(AND(N453=$AK$5,$O454=9),$AK$3,IF(AND(N453=$AL$5,$O454=9),$AL$3,IF(AND(N453=$AM$5,$O454=9),$AM$3,IF(AND(N453=$AN$5,$O454=9),$AN$3,IF(AND(N453=$AO$5,$O454=9),$AO$3,IF(AND(N453=$AP$5,$O454=9),$AP$3,IF(AND(N453=$AQ$5,$O454=9),$AJ$3,IF(AND(N453=$AE$4,$O454=12),$AE$3,IF(AND(N453=$AF$4,$O454=12),$AF$3,IF(AND(N453=$AG$4,$O454=12),$AG$3,IF(AND(N453=$AH$4,$O454=12),$AH$3,IF(AND(N453=$AI$4,$O454=12),$AI$3,IF(AND(N453=$AJ$4,$O454=12),$AJ$3,IF(AND(N453=$AK$4,$O454=12),$AK$3,IF(AND(N453=$AL$4,$O454=12),$AL$3,IF(AND(N453=$AM$4,$O454=12),$AM$3,IF(AND(N453=$AN$4,$O454=12),$AN$3,IF(AND(N453=$AO$4,$O454=12),$AO$3,IF(AND(N453=$AP$4,$O454=12),$AP$3,IF(AND(N453=$AQ$4,$O454=12),$AJ$3," "))))))))))))))))))))))))))</f>
        <v>Year 12</v>
      </c>
    </row>
    <row r="453" spans="1:22" x14ac:dyDescent="0.25">
      <c r="A453" s="219" t="str">
        <f>+B433</f>
        <v>Co-PI</v>
      </c>
      <c r="B453" s="55" t="str">
        <f t="shared" ref="B453:I453" si="737">+N$2</f>
        <v>FY2025</v>
      </c>
      <c r="C453" s="55" t="str">
        <f t="shared" si="737"/>
        <v>FY2026</v>
      </c>
      <c r="D453" s="55" t="str">
        <f t="shared" si="737"/>
        <v>FY2027</v>
      </c>
      <c r="E453" s="55" t="str">
        <f t="shared" si="737"/>
        <v>FY2028</v>
      </c>
      <c r="F453" s="55" t="str">
        <f t="shared" si="737"/>
        <v>FY2029</v>
      </c>
      <c r="G453" s="55" t="str">
        <f t="shared" si="737"/>
        <v>FY2030</v>
      </c>
      <c r="H453" s="55" t="str">
        <f t="shared" si="737"/>
        <v>FY2031</v>
      </c>
      <c r="I453" s="55" t="str">
        <f t="shared" si="737"/>
        <v>FY2032</v>
      </c>
      <c r="J453" s="55" t="str">
        <f t="shared" ref="J453" si="738">+V$2</f>
        <v>FY2033</v>
      </c>
      <c r="K453" s="55" t="str">
        <f t="shared" ref="K453" si="739">+W$2</f>
        <v>FY2034</v>
      </c>
      <c r="L453" s="55" t="str">
        <f t="shared" ref="L453" si="740">+X$2</f>
        <v>FY2035</v>
      </c>
      <c r="M453" s="55" t="str">
        <f t="shared" ref="M453:N453" si="741">+Y$2</f>
        <v>FY2036</v>
      </c>
      <c r="N453" s="55" t="str">
        <f t="shared" si="741"/>
        <v>FY2037</v>
      </c>
      <c r="O453" s="32" t="s">
        <v>20</v>
      </c>
      <c r="P453" s="89"/>
      <c r="Q453" s="89"/>
    </row>
    <row r="454" spans="1:22" x14ac:dyDescent="0.25">
      <c r="A454" s="220" t="str">
        <f>CONCATENATE("Base Salary: ",O454," month term")</f>
        <v>Base Salary: 9 month term</v>
      </c>
      <c r="B454" s="383">
        <v>0</v>
      </c>
      <c r="C454" s="384">
        <f t="shared" ref="C454:N454" si="742">ROUND(+B454*(1+(HLOOKUP(C453,FringeAndIDCRates,10,FALSE))),0)</f>
        <v>0</v>
      </c>
      <c r="D454" s="384">
        <f t="shared" si="742"/>
        <v>0</v>
      </c>
      <c r="E454" s="384">
        <f t="shared" si="742"/>
        <v>0</v>
      </c>
      <c r="F454" s="384">
        <f t="shared" si="742"/>
        <v>0</v>
      </c>
      <c r="G454" s="384">
        <f t="shared" si="742"/>
        <v>0</v>
      </c>
      <c r="H454" s="384">
        <f t="shared" si="742"/>
        <v>0</v>
      </c>
      <c r="I454" s="384">
        <f t="shared" si="742"/>
        <v>0</v>
      </c>
      <c r="J454" s="384">
        <f t="shared" si="742"/>
        <v>0</v>
      </c>
      <c r="K454" s="384">
        <f t="shared" si="742"/>
        <v>0</v>
      </c>
      <c r="L454" s="384">
        <f t="shared" si="742"/>
        <v>0</v>
      </c>
      <c r="M454" s="384">
        <f t="shared" si="742"/>
        <v>0</v>
      </c>
      <c r="N454" s="384">
        <f t="shared" si="742"/>
        <v>0</v>
      </c>
      <c r="O454" s="310">
        <v>9</v>
      </c>
      <c r="P454" s="311"/>
      <c r="Q454" s="52"/>
    </row>
    <row r="455" spans="1:22" x14ac:dyDescent="0.25">
      <c r="A455" s="220" t="s">
        <v>44</v>
      </c>
      <c r="B455" s="312">
        <v>0</v>
      </c>
      <c r="C455" s="312">
        <v>0</v>
      </c>
      <c r="D455" s="312">
        <v>0</v>
      </c>
      <c r="E455" s="312">
        <v>0</v>
      </c>
      <c r="F455" s="312">
        <v>0</v>
      </c>
      <c r="G455" s="312">
        <v>0</v>
      </c>
      <c r="H455" s="312">
        <v>0</v>
      </c>
      <c r="I455" s="312">
        <v>0</v>
      </c>
      <c r="J455" s="312">
        <v>0</v>
      </c>
      <c r="K455" s="312">
        <v>0</v>
      </c>
      <c r="L455" s="312">
        <v>0</v>
      </c>
      <c r="M455" s="312">
        <v>0</v>
      </c>
      <c r="N455" s="312">
        <v>0</v>
      </c>
      <c r="O455" s="25"/>
      <c r="P455" s="25"/>
      <c r="Q455" s="25"/>
    </row>
    <row r="456" spans="1:22" x14ac:dyDescent="0.25">
      <c r="A456" s="220" t="str">
        <f>CONCATENATE("FTE for ",O454," Months")</f>
        <v>FTE for 9 Months</v>
      </c>
      <c r="B456" s="393">
        <f t="shared" ref="B456:M456" si="743">+B455/$O454</f>
        <v>0</v>
      </c>
      <c r="C456" s="393">
        <f t="shared" si="743"/>
        <v>0</v>
      </c>
      <c r="D456" s="393">
        <f t="shared" si="743"/>
        <v>0</v>
      </c>
      <c r="E456" s="393">
        <f t="shared" si="743"/>
        <v>0</v>
      </c>
      <c r="F456" s="393">
        <f t="shared" si="743"/>
        <v>0</v>
      </c>
      <c r="G456" s="393">
        <f t="shared" si="743"/>
        <v>0</v>
      </c>
      <c r="H456" s="393">
        <f t="shared" si="743"/>
        <v>0</v>
      </c>
      <c r="I456" s="393">
        <f t="shared" si="743"/>
        <v>0</v>
      </c>
      <c r="J456" s="393">
        <f t="shared" si="743"/>
        <v>0</v>
      </c>
      <c r="K456" s="393">
        <f t="shared" si="743"/>
        <v>0</v>
      </c>
      <c r="L456" s="393">
        <f t="shared" si="743"/>
        <v>0</v>
      </c>
      <c r="M456" s="393">
        <f t="shared" si="743"/>
        <v>0</v>
      </c>
      <c r="N456" s="393">
        <f t="shared" ref="N456" si="744">+N455/$O454</f>
        <v>0</v>
      </c>
      <c r="O456" s="89"/>
      <c r="P456" s="89"/>
      <c r="Q456" s="89"/>
    </row>
    <row r="457" spans="1:22" x14ac:dyDescent="0.25">
      <c r="A457" s="221" t="s">
        <v>56</v>
      </c>
      <c r="B457" s="394">
        <f t="shared" ref="B457:D457" si="745">+B455/12</f>
        <v>0</v>
      </c>
      <c r="C457" s="394">
        <f t="shared" si="745"/>
        <v>0</v>
      </c>
      <c r="D457" s="394">
        <f t="shared" si="745"/>
        <v>0</v>
      </c>
      <c r="E457" s="394">
        <f t="shared" ref="E457:L457" si="746">+E455/12</f>
        <v>0</v>
      </c>
      <c r="F457" s="394">
        <f t="shared" si="746"/>
        <v>0</v>
      </c>
      <c r="G457" s="394">
        <f t="shared" si="746"/>
        <v>0</v>
      </c>
      <c r="H457" s="394">
        <f t="shared" si="746"/>
        <v>0</v>
      </c>
      <c r="I457" s="394">
        <f t="shared" si="746"/>
        <v>0</v>
      </c>
      <c r="J457" s="394">
        <f t="shared" si="746"/>
        <v>0</v>
      </c>
      <c r="K457" s="394">
        <f t="shared" si="746"/>
        <v>0</v>
      </c>
      <c r="L457" s="394">
        <f t="shared" si="746"/>
        <v>0</v>
      </c>
      <c r="M457" s="394">
        <f t="shared" ref="M457:N457" si="747">+M455/12</f>
        <v>0</v>
      </c>
      <c r="N457" s="394">
        <f t="shared" si="747"/>
        <v>0</v>
      </c>
      <c r="O457" s="89"/>
      <c r="P457" s="89"/>
      <c r="Q457" s="89"/>
    </row>
    <row r="458" spans="1:22" x14ac:dyDescent="0.25">
      <c r="A458" s="220" t="s">
        <v>21</v>
      </c>
      <c r="B458" s="110">
        <f t="shared" ref="B458:K458" si="748">IF($O454=9,ROUND(B454*B456,0),IF($O454=12,ROUND((B454*B456*$Q$41)+(C454*B456*$Q$42),0),0))</f>
        <v>0</v>
      </c>
      <c r="C458" s="110">
        <f t="shared" si="748"/>
        <v>0</v>
      </c>
      <c r="D458" s="110">
        <f t="shared" si="748"/>
        <v>0</v>
      </c>
      <c r="E458" s="110">
        <f t="shared" si="748"/>
        <v>0</v>
      </c>
      <c r="F458" s="110">
        <f t="shared" si="748"/>
        <v>0</v>
      </c>
      <c r="G458" s="110">
        <f t="shared" si="748"/>
        <v>0</v>
      </c>
      <c r="H458" s="110">
        <f t="shared" si="748"/>
        <v>0</v>
      </c>
      <c r="I458" s="110">
        <f t="shared" si="748"/>
        <v>0</v>
      </c>
      <c r="J458" s="110">
        <f t="shared" si="748"/>
        <v>0</v>
      </c>
      <c r="K458" s="110">
        <f t="shared" si="748"/>
        <v>0</v>
      </c>
      <c r="L458" s="110">
        <f>IF($O454=9,ROUND(L454*L456,0),IF($O454=12,ROUND((L454*L456*$Q$41)+(N454*L456*$Q$42),0),0))</f>
        <v>0</v>
      </c>
      <c r="M458" s="110">
        <f>IF($O454=9,ROUND(M454*M456,0),IF($O454=12,ROUND((M454*M456*$Q$41)+(O454*M456*$Q$42),0),0))</f>
        <v>0</v>
      </c>
      <c r="N458" s="110">
        <f>IF($O454=9,ROUND(N454*N456,0),IF($O454=12,ROUND((N454*N456*$Q$41)+(P454*N456*$Q$42),0),0))</f>
        <v>0</v>
      </c>
      <c r="O458" s="89"/>
      <c r="P458" s="89"/>
      <c r="Q458" s="89"/>
    </row>
    <row r="459" spans="1:22" x14ac:dyDescent="0.25">
      <c r="A459" s="213"/>
      <c r="O459" s="89"/>
      <c r="P459" s="89"/>
      <c r="Q459" s="89"/>
    </row>
    <row r="460" spans="1:22" x14ac:dyDescent="0.25">
      <c r="A460" s="218" t="str">
        <f>CONCATENATE("Calculation based on ",O462," month salary")</f>
        <v>Calculation based on 9 month salary</v>
      </c>
      <c r="B460" s="104" t="str">
        <f t="shared" ref="B460:L460" si="749">IF(AND(B461=$AE$5,$O462=9),$AE$3,IF(AND(B461=$AF$5,$O462=9),$AF$3,IF(AND(B461=$AG$5,$O462=9),$AG$3,IF(AND(B461=$AH$5,$O462=9),$AH$3,IF(AND(B461=$AI$5,$O462=9),$AI$3,IF(AND(B461=$AJ$5,$O462=9),$AJ$3,IF(AND(B461=$AK$5,$O462=9),$AK$3,IF(AND(B461=$AL$5,$O462=9),$AL$3,IF(AND(B461=$AM$5,$O462=9),$AM$3,IF(AND(B461=$AN$5,$O462=9),$AN$3,IF(AND(B461=$AO$5,$O462=9),$AO$3,IF(AND(B461=$AP$5,$O462=9),$AJ$3,IF(AND(B461=$AE$4,$O462=12),$AE$3,IF(AND(B461=$AF$4,$O462=12),$AF$3,IF(AND(B461=$AG$4,$O462=12),$AG$3,IF(AND(B461=$AH$4,$O462=12),$AH$3,IF(AND(B461=$AI$4,$O462=12),$AI$3,IF(AND(B461=$AJ$4,$O462=12),$AJ$3,IF(AND(B461=$AK$4,$O462=12),$AK$3,IF(AND(B461=$AL$4,$O462=12),$AL$3,IF(AND(B461=$AM$4,$O462=12),$AM$3,IF(AND(B461=$AN$4,$O462=12),$AN$3,IF(AND(B461=$AO$4,$O462=12),$AO$3,IF(AND(B461=$AP$4,$O462=12),$AJ$3," "))))))))))))))))))))))))</f>
        <v xml:space="preserve"> </v>
      </c>
      <c r="C460" s="104" t="str">
        <f t="shared" si="749"/>
        <v>Year 1</v>
      </c>
      <c r="D460" s="104" t="str">
        <f t="shared" si="749"/>
        <v>Year 2</v>
      </c>
      <c r="E460" s="104" t="str">
        <f t="shared" si="749"/>
        <v>Year 3</v>
      </c>
      <c r="F460" s="104" t="str">
        <f t="shared" si="749"/>
        <v>Year 4</v>
      </c>
      <c r="G460" s="104" t="str">
        <f t="shared" si="749"/>
        <v>Year 5</v>
      </c>
      <c r="H460" s="104" t="str">
        <f t="shared" si="749"/>
        <v>Year 6</v>
      </c>
      <c r="I460" s="104" t="str">
        <f t="shared" si="749"/>
        <v>Year 7</v>
      </c>
      <c r="J460" s="104" t="str">
        <f t="shared" si="749"/>
        <v>Year 8</v>
      </c>
      <c r="K460" s="104" t="str">
        <f t="shared" si="749"/>
        <v>Year 9</v>
      </c>
      <c r="L460" s="104" t="str">
        <f t="shared" si="749"/>
        <v>Year 10</v>
      </c>
      <c r="M460" s="104" t="str">
        <f>IF(AND(M461=$AE$5,$O462=9),$AE$3,IF(AND(M461=$AF$5,$O462=9),$AF$3,IF(AND(M461=$AG$5,$O462=9),$AG$3,IF(AND(M461=$AH$5,$O462=9),$AH$3,IF(AND(M461=$AI$5,$O462=9),$AI$3,IF(AND(M461=$AJ$5,$O462=9),$AJ$3,IF(AND(M461=$AK$5,$O462=9),$AK$3,IF(AND(M461=$AL$5,$O462=9),$AL$3,IF(AND(M461=$AM$5,$O462=9),$AM$3,IF(AND(M461=$AN$5,$O462=9),$AN$3,IF(AND(M461=$AO$5,$O462=9),$AO$3,IF(AND(M461=$AP$5,$O462=9),$AP$3,IF(AND(M461=$AQ$5,$O462=9),$AJ$3,IF(AND(M461=$AE$4,$O462=12),$AE$3,IF(AND(M461=$AF$4,$O462=12),$AF$3,IF(AND(M461=$AG$4,$O462=12),$AG$3,IF(AND(M461=$AH$4,$O462=12),$AH$3,IF(AND(M461=$AI$4,$O462=12),$AI$3,IF(AND(M461=$AJ$4,$O462=12),$AJ$3,IF(AND(M461=$AK$4,$O462=12),$AK$3,IF(AND(M461=$AL$4,$O462=12),$AL$3,IF(AND(M461=$AM$4,$O462=12),$AM$3,IF(AND(M461=$AN$4,$O462=12),$AN$3,IF(AND(M461=$AO$4,$O462=12),$AO$3,IF(AND(M461=$AP$4,$O462=12),$AP$3,IF(AND(M461=$AQ$4,$O462=12),$AJ$3," "))))))))))))))))))))))))))</f>
        <v>Year 11</v>
      </c>
      <c r="N460" s="104" t="str">
        <f>IF(AND(N461=$AE$5,$O462=9),$AE$3,IF(AND(N461=$AF$5,$O462=9),$AF$3,IF(AND(N461=$AG$5,$O462=9),$AG$3,IF(AND(N461=$AH$5,$O462=9),$AH$3,IF(AND(N461=$AI$5,$O462=9),$AI$3,IF(AND(N461=$AJ$5,$O462=9),$AJ$3,IF(AND(N461=$AK$5,$O462=9),$AK$3,IF(AND(N461=$AL$5,$O462=9),$AL$3,IF(AND(N461=$AM$5,$O462=9),$AM$3,IF(AND(N461=$AN$5,$O462=9),$AN$3,IF(AND(N461=$AO$5,$O462=9),$AO$3,IF(AND(N461=$AP$5,$O462=9),$AP$3,IF(AND(N461=$AQ$5,$O462=9),$AJ$3,IF(AND(N461=$AE$4,$O462=12),$AE$3,IF(AND(N461=$AF$4,$O462=12),$AF$3,IF(AND(N461=$AG$4,$O462=12),$AG$3,IF(AND(N461=$AH$4,$O462=12),$AH$3,IF(AND(N461=$AI$4,$O462=12),$AI$3,IF(AND(N461=$AJ$4,$O462=12),$AJ$3,IF(AND(N461=$AK$4,$O462=12),$AK$3,IF(AND(N461=$AL$4,$O462=12),$AL$3,IF(AND(N461=$AM$4,$O462=12),$AM$3,IF(AND(N461=$AN$4,$O462=12),$AN$3,IF(AND(N461=$AO$4,$O462=12),$AO$3,IF(AND(N461=$AP$4,$O462=12),$AP$3,IF(AND(N461=$AQ$4,$O462=12),$AJ$3," "))))))))))))))))))))))))))</f>
        <v>Year 12</v>
      </c>
      <c r="O460" s="89"/>
      <c r="P460" s="89"/>
      <c r="Q460" s="89"/>
      <c r="V460" s="23"/>
    </row>
    <row r="461" spans="1:22" x14ac:dyDescent="0.25">
      <c r="A461" s="219" t="str">
        <f>+B434</f>
        <v>Co-PI</v>
      </c>
      <c r="B461" s="55" t="str">
        <f t="shared" ref="B461:I461" si="750">+N$2</f>
        <v>FY2025</v>
      </c>
      <c r="C461" s="55" t="str">
        <f t="shared" si="750"/>
        <v>FY2026</v>
      </c>
      <c r="D461" s="55" t="str">
        <f t="shared" si="750"/>
        <v>FY2027</v>
      </c>
      <c r="E461" s="55" t="str">
        <f t="shared" si="750"/>
        <v>FY2028</v>
      </c>
      <c r="F461" s="55" t="str">
        <f t="shared" si="750"/>
        <v>FY2029</v>
      </c>
      <c r="G461" s="55" t="str">
        <f t="shared" si="750"/>
        <v>FY2030</v>
      </c>
      <c r="H461" s="55" t="str">
        <f t="shared" si="750"/>
        <v>FY2031</v>
      </c>
      <c r="I461" s="55" t="str">
        <f t="shared" si="750"/>
        <v>FY2032</v>
      </c>
      <c r="J461" s="55" t="str">
        <f t="shared" ref="J461" si="751">+V$2</f>
        <v>FY2033</v>
      </c>
      <c r="K461" s="55" t="str">
        <f t="shared" ref="K461" si="752">+W$2</f>
        <v>FY2034</v>
      </c>
      <c r="L461" s="55" t="str">
        <f t="shared" ref="L461" si="753">+X$2</f>
        <v>FY2035</v>
      </c>
      <c r="M461" s="55" t="str">
        <f t="shared" ref="M461:N461" si="754">+Y$2</f>
        <v>FY2036</v>
      </c>
      <c r="N461" s="55" t="str">
        <f t="shared" si="754"/>
        <v>FY2037</v>
      </c>
      <c r="O461" s="32" t="s">
        <v>20</v>
      </c>
      <c r="P461" s="89"/>
      <c r="Q461" s="89"/>
      <c r="V461" s="23"/>
    </row>
    <row r="462" spans="1:22" x14ac:dyDescent="0.25">
      <c r="A462" s="220" t="str">
        <f>CONCATENATE("Base Salary: ",O462," month term")</f>
        <v>Base Salary: 9 month term</v>
      </c>
      <c r="B462" s="383">
        <v>0</v>
      </c>
      <c r="C462" s="384">
        <f t="shared" ref="C462:N462" si="755">ROUND(+B462*(1+(HLOOKUP(C461,FringeAndIDCRates,10,FALSE))),0)</f>
        <v>0</v>
      </c>
      <c r="D462" s="384">
        <f t="shared" si="755"/>
        <v>0</v>
      </c>
      <c r="E462" s="384">
        <f t="shared" si="755"/>
        <v>0</v>
      </c>
      <c r="F462" s="384">
        <f t="shared" si="755"/>
        <v>0</v>
      </c>
      <c r="G462" s="384">
        <f t="shared" si="755"/>
        <v>0</v>
      </c>
      <c r="H462" s="384">
        <f t="shared" si="755"/>
        <v>0</v>
      </c>
      <c r="I462" s="384">
        <f t="shared" si="755"/>
        <v>0</v>
      </c>
      <c r="J462" s="384">
        <f t="shared" si="755"/>
        <v>0</v>
      </c>
      <c r="K462" s="384">
        <f t="shared" si="755"/>
        <v>0</v>
      </c>
      <c r="L462" s="384">
        <f t="shared" si="755"/>
        <v>0</v>
      </c>
      <c r="M462" s="384">
        <f t="shared" si="755"/>
        <v>0</v>
      </c>
      <c r="N462" s="384">
        <f t="shared" si="755"/>
        <v>0</v>
      </c>
      <c r="O462" s="310">
        <v>9</v>
      </c>
      <c r="P462" s="311"/>
      <c r="Q462" s="52"/>
      <c r="V462" s="23"/>
    </row>
    <row r="463" spans="1:22" x14ac:dyDescent="0.25">
      <c r="A463" s="220" t="s">
        <v>44</v>
      </c>
      <c r="B463" s="312">
        <v>0</v>
      </c>
      <c r="C463" s="312">
        <v>0</v>
      </c>
      <c r="D463" s="312">
        <v>0</v>
      </c>
      <c r="E463" s="312">
        <v>0</v>
      </c>
      <c r="F463" s="312">
        <v>0</v>
      </c>
      <c r="G463" s="312">
        <v>0</v>
      </c>
      <c r="H463" s="312">
        <v>0</v>
      </c>
      <c r="I463" s="312">
        <v>0</v>
      </c>
      <c r="J463" s="312">
        <v>0</v>
      </c>
      <c r="K463" s="312">
        <v>0</v>
      </c>
      <c r="L463" s="312">
        <v>0</v>
      </c>
      <c r="M463" s="312">
        <v>0</v>
      </c>
      <c r="N463" s="312">
        <v>0</v>
      </c>
      <c r="O463" s="25"/>
      <c r="P463" s="25"/>
      <c r="Q463" s="25"/>
    </row>
    <row r="464" spans="1:22" x14ac:dyDescent="0.25">
      <c r="A464" s="220" t="str">
        <f>CONCATENATE("FTE for ",O462," Months")</f>
        <v>FTE for 9 Months</v>
      </c>
      <c r="B464" s="393">
        <f t="shared" ref="B464:M464" si="756">+B463/$O462</f>
        <v>0</v>
      </c>
      <c r="C464" s="393">
        <f t="shared" si="756"/>
        <v>0</v>
      </c>
      <c r="D464" s="393">
        <f t="shared" si="756"/>
        <v>0</v>
      </c>
      <c r="E464" s="393">
        <f t="shared" si="756"/>
        <v>0</v>
      </c>
      <c r="F464" s="393">
        <f t="shared" si="756"/>
        <v>0</v>
      </c>
      <c r="G464" s="393">
        <f t="shared" si="756"/>
        <v>0</v>
      </c>
      <c r="H464" s="393">
        <f t="shared" si="756"/>
        <v>0</v>
      </c>
      <c r="I464" s="393">
        <f t="shared" si="756"/>
        <v>0</v>
      </c>
      <c r="J464" s="393">
        <f t="shared" si="756"/>
        <v>0</v>
      </c>
      <c r="K464" s="393">
        <f t="shared" si="756"/>
        <v>0</v>
      </c>
      <c r="L464" s="393">
        <f t="shared" si="756"/>
        <v>0</v>
      </c>
      <c r="M464" s="393">
        <f t="shared" si="756"/>
        <v>0</v>
      </c>
      <c r="N464" s="393">
        <f t="shared" ref="N464" si="757">+N463/$O462</f>
        <v>0</v>
      </c>
      <c r="O464" s="89"/>
      <c r="P464" s="89"/>
      <c r="Q464" s="89"/>
    </row>
    <row r="465" spans="1:32" x14ac:dyDescent="0.25">
      <c r="A465" s="221" t="s">
        <v>56</v>
      </c>
      <c r="B465" s="394">
        <f>+B463/12</f>
        <v>0</v>
      </c>
      <c r="C465" s="394">
        <f>+C463/12</f>
        <v>0</v>
      </c>
      <c r="D465" s="394">
        <f t="shared" ref="D465" si="758">+D463/12</f>
        <v>0</v>
      </c>
      <c r="E465" s="394">
        <f t="shared" ref="E465:L465" si="759">+E463/12</f>
        <v>0</v>
      </c>
      <c r="F465" s="394">
        <f t="shared" si="759"/>
        <v>0</v>
      </c>
      <c r="G465" s="394">
        <f t="shared" si="759"/>
        <v>0</v>
      </c>
      <c r="H465" s="394">
        <f t="shared" si="759"/>
        <v>0</v>
      </c>
      <c r="I465" s="394">
        <f t="shared" si="759"/>
        <v>0</v>
      </c>
      <c r="J465" s="394">
        <f t="shared" si="759"/>
        <v>0</v>
      </c>
      <c r="K465" s="394">
        <f t="shared" si="759"/>
        <v>0</v>
      </c>
      <c r="L465" s="394">
        <f t="shared" si="759"/>
        <v>0</v>
      </c>
      <c r="M465" s="394">
        <f t="shared" ref="M465:N465" si="760">+M463/12</f>
        <v>0</v>
      </c>
      <c r="N465" s="394">
        <f t="shared" si="760"/>
        <v>0</v>
      </c>
      <c r="O465" s="89"/>
      <c r="P465" s="89"/>
      <c r="Q465" s="89"/>
    </row>
    <row r="466" spans="1:32" x14ac:dyDescent="0.25">
      <c r="A466" s="220" t="s">
        <v>21</v>
      </c>
      <c r="B466" s="110">
        <f t="shared" ref="B466:K466" si="761">IF($O462=9,ROUND(B462*B464,0),IF($O462=12,ROUND((B462*B464*$Q$41)+(C462*B464*$Q$42),0),0))</f>
        <v>0</v>
      </c>
      <c r="C466" s="110">
        <f t="shared" si="761"/>
        <v>0</v>
      </c>
      <c r="D466" s="110">
        <f t="shared" si="761"/>
        <v>0</v>
      </c>
      <c r="E466" s="110">
        <f t="shared" si="761"/>
        <v>0</v>
      </c>
      <c r="F466" s="110">
        <f t="shared" si="761"/>
        <v>0</v>
      </c>
      <c r="G466" s="110">
        <f t="shared" si="761"/>
        <v>0</v>
      </c>
      <c r="H466" s="110">
        <f t="shared" si="761"/>
        <v>0</v>
      </c>
      <c r="I466" s="110">
        <f t="shared" si="761"/>
        <v>0</v>
      </c>
      <c r="J466" s="110">
        <f t="shared" si="761"/>
        <v>0</v>
      </c>
      <c r="K466" s="110">
        <f t="shared" si="761"/>
        <v>0</v>
      </c>
      <c r="L466" s="110">
        <f>IF($O462=9,ROUND(L462*L464,0),IF($O462=12,ROUND((L462*L464*$Q$41)+(N462*L464*$Q$42),0),0))</f>
        <v>0</v>
      </c>
      <c r="M466" s="110">
        <f>IF($O462=9,ROUND(M462*M464,0),IF($O462=12,ROUND((M462*M464*$Q$41)+(O462*M464*$Q$42),0),0))</f>
        <v>0</v>
      </c>
      <c r="N466" s="110">
        <f>IF($O462=9,ROUND(N462*N464,0),IF($O462=12,ROUND((N462*N464*$Q$41)+(P462*N464*$Q$42),0),0))</f>
        <v>0</v>
      </c>
      <c r="O466" s="89"/>
      <c r="P466" s="89"/>
      <c r="Q466" s="89"/>
    </row>
    <row r="467" spans="1:32" x14ac:dyDescent="0.25">
      <c r="A467" s="220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89"/>
      <c r="P467" s="89"/>
      <c r="Q467" s="89"/>
      <c r="R467" s="26"/>
      <c r="S467" s="23"/>
      <c r="T467" s="23"/>
      <c r="U467" s="23"/>
      <c r="V467" s="23"/>
      <c r="W467" s="23"/>
    </row>
    <row r="468" spans="1:32" x14ac:dyDescent="0.25">
      <c r="A468" s="218" t="str">
        <f>CONCATENATE("Calculation based on ",O470," month salary")</f>
        <v>Calculation based on 9 month salary</v>
      </c>
      <c r="B468" s="104" t="str">
        <f t="shared" ref="B468:L468" si="762">IF(AND(B469=$AE$5,$O470=9),$AE$3,IF(AND(B469=$AF$5,$O470=9),$AF$3,IF(AND(B469=$AG$5,$O470=9),$AG$3,IF(AND(B469=$AH$5,$O470=9),$AH$3,IF(AND(B469=$AI$5,$O470=9),$AI$3,IF(AND(B469=$AJ$5,$O470=9),$AJ$3,IF(AND(B469=$AK$5,$O470=9),$AK$3,IF(AND(B469=$AL$5,$O470=9),$AL$3,IF(AND(B469=$AM$5,$O470=9),$AM$3,IF(AND(B469=$AN$5,$O470=9),$AN$3,IF(AND(B469=$AO$5,$O470=9),$AO$3,IF(AND(B469=$AP$5,$O470=9),$AJ$3,IF(AND(B469=$AE$4,$O470=12),$AE$3,IF(AND(B469=$AF$4,$O470=12),$AF$3,IF(AND(B469=$AG$4,$O470=12),$AG$3,IF(AND(B469=$AH$4,$O470=12),$AH$3,IF(AND(B469=$AI$4,$O470=12),$AI$3,IF(AND(B469=$AJ$4,$O470=12),$AJ$3,IF(AND(B469=$AK$4,$O470=12),$AK$3,IF(AND(B469=$AL$4,$O470=12),$AL$3,IF(AND(B469=$AM$4,$O470=12),$AM$3,IF(AND(B469=$AN$4,$O470=12),$AN$3,IF(AND(B469=$AO$4,$O470=12),$AO$3,IF(AND(B469=$AP$4,$O470=12),$AJ$3," "))))))))))))))))))))))))</f>
        <v xml:space="preserve"> </v>
      </c>
      <c r="C468" s="104" t="str">
        <f t="shared" si="762"/>
        <v>Year 1</v>
      </c>
      <c r="D468" s="104" t="str">
        <f t="shared" si="762"/>
        <v>Year 2</v>
      </c>
      <c r="E468" s="104" t="str">
        <f t="shared" si="762"/>
        <v>Year 3</v>
      </c>
      <c r="F468" s="104" t="str">
        <f t="shared" si="762"/>
        <v>Year 4</v>
      </c>
      <c r="G468" s="104" t="str">
        <f t="shared" si="762"/>
        <v>Year 5</v>
      </c>
      <c r="H468" s="104" t="str">
        <f t="shared" si="762"/>
        <v>Year 6</v>
      </c>
      <c r="I468" s="104" t="str">
        <f t="shared" si="762"/>
        <v>Year 7</v>
      </c>
      <c r="J468" s="104" t="str">
        <f t="shared" si="762"/>
        <v>Year 8</v>
      </c>
      <c r="K468" s="104" t="str">
        <f t="shared" si="762"/>
        <v>Year 9</v>
      </c>
      <c r="L468" s="104" t="str">
        <f t="shared" si="762"/>
        <v>Year 10</v>
      </c>
      <c r="M468" s="104" t="str">
        <f>IF(AND(M469=$AE$5,$O470=9),$AE$3,IF(AND(M469=$AF$5,$O470=9),$AF$3,IF(AND(M469=$AG$5,$O470=9),$AG$3,IF(AND(M469=$AH$5,$O470=9),$AH$3,IF(AND(M469=$AI$5,$O470=9),$AI$3,IF(AND(M469=$AJ$5,$O470=9),$AJ$3,IF(AND(M469=$AK$5,$O470=9),$AK$3,IF(AND(M469=$AL$5,$O470=9),$AL$3,IF(AND(M469=$AM$5,$O470=9),$AM$3,IF(AND(M469=$AN$5,$O470=9),$AN$3,IF(AND(M469=$AO$5,$O470=9),$AO$3,IF(AND(M469=$AP$5,$O470=9),$AP$3,IF(AND(M469=$AQ$5,$O470=9),$AJ$3,IF(AND(M469=$AE$4,$O470=12),$AE$3,IF(AND(M469=$AF$4,$O470=12),$AF$3,IF(AND(M469=$AG$4,$O470=12),$AG$3,IF(AND(M469=$AH$4,$O470=12),$AH$3,IF(AND(M469=$AI$4,$O470=12),$AI$3,IF(AND(M469=$AJ$4,$O470=12),$AJ$3,IF(AND(M469=$AK$4,$O470=12),$AK$3,IF(AND(M469=$AL$4,$O470=12),$AL$3,IF(AND(M469=$AM$4,$O470=12),$AM$3,IF(AND(M469=$AN$4,$O470=12),$AN$3,IF(AND(M469=$AO$4,$O470=12),$AO$3,IF(AND(M469=$AP$4,$O470=12),$AP$3,IF(AND(M469=$AQ$4,$O470=12),$AJ$3," "))))))))))))))))))))))))))</f>
        <v>Year 11</v>
      </c>
      <c r="N468" s="104" t="str">
        <f>IF(AND(N469=$AE$5,$O470=9),$AE$3,IF(AND(N469=$AF$5,$O470=9),$AF$3,IF(AND(N469=$AG$5,$O470=9),$AG$3,IF(AND(N469=$AH$5,$O470=9),$AH$3,IF(AND(N469=$AI$5,$O470=9),$AI$3,IF(AND(N469=$AJ$5,$O470=9),$AJ$3,IF(AND(N469=$AK$5,$O470=9),$AK$3,IF(AND(N469=$AL$5,$O470=9),$AL$3,IF(AND(N469=$AM$5,$O470=9),$AM$3,IF(AND(N469=$AN$5,$O470=9),$AN$3,IF(AND(N469=$AO$5,$O470=9),$AO$3,IF(AND(N469=$AP$5,$O470=9),$AP$3,IF(AND(N469=$AQ$5,$O470=9),$AJ$3,IF(AND(N469=$AE$4,$O470=12),$AE$3,IF(AND(N469=$AF$4,$O470=12),$AF$3,IF(AND(N469=$AG$4,$O470=12),$AG$3,IF(AND(N469=$AH$4,$O470=12),$AH$3,IF(AND(N469=$AI$4,$O470=12),$AI$3,IF(AND(N469=$AJ$4,$O470=12),$AJ$3,IF(AND(N469=$AK$4,$O470=12),$AK$3,IF(AND(N469=$AL$4,$O470=12),$AL$3,IF(AND(N469=$AM$4,$O470=12),$AM$3,IF(AND(N469=$AN$4,$O470=12),$AN$3,IF(AND(N469=$AO$4,$O470=12),$AO$3,IF(AND(N469=$AP$4,$O470=12),$AP$3,IF(AND(N469=$AQ$4,$O470=12),$AJ$3," "))))))))))))))))))))))))))</f>
        <v>Year 12</v>
      </c>
      <c r="O468" s="89"/>
      <c r="P468" s="89"/>
      <c r="Q468" s="89"/>
    </row>
    <row r="469" spans="1:32" x14ac:dyDescent="0.25">
      <c r="A469" s="219" t="str">
        <f>+B435</f>
        <v>Co-PI</v>
      </c>
      <c r="B469" s="55" t="str">
        <f t="shared" ref="B469:I469" si="763">+N$2</f>
        <v>FY2025</v>
      </c>
      <c r="C469" s="55" t="str">
        <f t="shared" si="763"/>
        <v>FY2026</v>
      </c>
      <c r="D469" s="55" t="str">
        <f t="shared" si="763"/>
        <v>FY2027</v>
      </c>
      <c r="E469" s="55" t="str">
        <f t="shared" si="763"/>
        <v>FY2028</v>
      </c>
      <c r="F469" s="55" t="str">
        <f t="shared" si="763"/>
        <v>FY2029</v>
      </c>
      <c r="G469" s="55" t="str">
        <f t="shared" si="763"/>
        <v>FY2030</v>
      </c>
      <c r="H469" s="55" t="str">
        <f t="shared" si="763"/>
        <v>FY2031</v>
      </c>
      <c r="I469" s="55" t="str">
        <f t="shared" si="763"/>
        <v>FY2032</v>
      </c>
      <c r="J469" s="55" t="str">
        <f t="shared" ref="J469" si="764">+V$2</f>
        <v>FY2033</v>
      </c>
      <c r="K469" s="55" t="str">
        <f t="shared" ref="K469" si="765">+W$2</f>
        <v>FY2034</v>
      </c>
      <c r="L469" s="55" t="str">
        <f t="shared" ref="L469" si="766">+X$2</f>
        <v>FY2035</v>
      </c>
      <c r="M469" s="55" t="str">
        <f t="shared" ref="M469:N469" si="767">+Y$2</f>
        <v>FY2036</v>
      </c>
      <c r="N469" s="55" t="str">
        <f t="shared" si="767"/>
        <v>FY2037</v>
      </c>
      <c r="O469" s="32" t="s">
        <v>20</v>
      </c>
      <c r="P469" s="89"/>
      <c r="Q469" s="89"/>
    </row>
    <row r="470" spans="1:32" x14ac:dyDescent="0.25">
      <c r="A470" s="220" t="str">
        <f>CONCATENATE("Base Salary: ",O470," month term")</f>
        <v>Base Salary: 9 month term</v>
      </c>
      <c r="B470" s="383">
        <v>0</v>
      </c>
      <c r="C470" s="384">
        <f t="shared" ref="C470:N470" si="768">ROUND(+B470*(1+(HLOOKUP(C469,FringeAndIDCRates,10,FALSE))),0)</f>
        <v>0</v>
      </c>
      <c r="D470" s="384">
        <f t="shared" si="768"/>
        <v>0</v>
      </c>
      <c r="E470" s="384">
        <f t="shared" si="768"/>
        <v>0</v>
      </c>
      <c r="F470" s="384">
        <f t="shared" si="768"/>
        <v>0</v>
      </c>
      <c r="G470" s="384">
        <f t="shared" si="768"/>
        <v>0</v>
      </c>
      <c r="H470" s="384">
        <f t="shared" si="768"/>
        <v>0</v>
      </c>
      <c r="I470" s="384">
        <f t="shared" si="768"/>
        <v>0</v>
      </c>
      <c r="J470" s="384">
        <f t="shared" si="768"/>
        <v>0</v>
      </c>
      <c r="K470" s="384">
        <f t="shared" si="768"/>
        <v>0</v>
      </c>
      <c r="L470" s="384">
        <f t="shared" si="768"/>
        <v>0</v>
      </c>
      <c r="M470" s="384">
        <f t="shared" si="768"/>
        <v>0</v>
      </c>
      <c r="N470" s="384">
        <f t="shared" si="768"/>
        <v>0</v>
      </c>
      <c r="O470" s="310">
        <v>9</v>
      </c>
      <c r="P470" s="311"/>
      <c r="Q470" s="52"/>
    </row>
    <row r="471" spans="1:32" x14ac:dyDescent="0.25">
      <c r="A471" s="220" t="s">
        <v>44</v>
      </c>
      <c r="B471" s="312">
        <v>0</v>
      </c>
      <c r="C471" s="312">
        <v>0</v>
      </c>
      <c r="D471" s="312">
        <v>0</v>
      </c>
      <c r="E471" s="312">
        <v>0</v>
      </c>
      <c r="F471" s="312">
        <v>0</v>
      </c>
      <c r="G471" s="312">
        <v>0</v>
      </c>
      <c r="H471" s="312">
        <v>0</v>
      </c>
      <c r="I471" s="312">
        <v>0</v>
      </c>
      <c r="J471" s="312">
        <v>0</v>
      </c>
      <c r="K471" s="312">
        <v>0</v>
      </c>
      <c r="L471" s="312">
        <v>0</v>
      </c>
      <c r="M471" s="312">
        <v>0</v>
      </c>
      <c r="N471" s="312">
        <v>0</v>
      </c>
      <c r="O471" s="25"/>
      <c r="P471" s="25"/>
      <c r="Q471" s="223"/>
      <c r="R471" s="42" t="str">
        <f>+O$26</f>
        <v>Graduate Student (Stipend, Tuition, Health Ins)</v>
      </c>
    </row>
    <row r="472" spans="1:32" x14ac:dyDescent="0.25">
      <c r="A472" s="220" t="str">
        <f>CONCATENATE("FTE for ",O470," Months")</f>
        <v>FTE for 9 Months</v>
      </c>
      <c r="B472" s="393">
        <f t="shared" ref="B472:M472" si="769">+B471/$O470</f>
        <v>0</v>
      </c>
      <c r="C472" s="393">
        <f t="shared" si="769"/>
        <v>0</v>
      </c>
      <c r="D472" s="393">
        <f t="shared" si="769"/>
        <v>0</v>
      </c>
      <c r="E472" s="393">
        <f t="shared" si="769"/>
        <v>0</v>
      </c>
      <c r="F472" s="393">
        <f t="shared" si="769"/>
        <v>0</v>
      </c>
      <c r="G472" s="393">
        <f t="shared" si="769"/>
        <v>0</v>
      </c>
      <c r="H472" s="393">
        <f t="shared" si="769"/>
        <v>0</v>
      </c>
      <c r="I472" s="393">
        <f t="shared" si="769"/>
        <v>0</v>
      </c>
      <c r="J472" s="393">
        <f t="shared" si="769"/>
        <v>0</v>
      </c>
      <c r="K472" s="393">
        <f t="shared" si="769"/>
        <v>0</v>
      </c>
      <c r="L472" s="393">
        <f t="shared" si="769"/>
        <v>0</v>
      </c>
      <c r="M472" s="393">
        <f t="shared" si="769"/>
        <v>0</v>
      </c>
      <c r="N472" s="393">
        <f t="shared" ref="N472" si="770">+N471/$O470</f>
        <v>0</v>
      </c>
      <c r="O472" s="89"/>
      <c r="P472" s="89"/>
      <c r="Q472" s="223"/>
      <c r="R472" s="25"/>
      <c r="S472" s="113" t="str">
        <f>+$P$30</f>
        <v>FY2025</v>
      </c>
      <c r="T472" s="113" t="str">
        <f>+$Q$30</f>
        <v>FY2026</v>
      </c>
      <c r="U472" s="113" t="str">
        <f>+$R$30</f>
        <v>FY2027</v>
      </c>
      <c r="V472" s="113" t="str">
        <f>+$S$30</f>
        <v>FY2028</v>
      </c>
      <c r="W472" s="113" t="str">
        <f>+$T$30</f>
        <v>FY2029</v>
      </c>
      <c r="X472" s="113" t="str">
        <f>+$U$30</f>
        <v>FY2030</v>
      </c>
      <c r="Y472" s="113" t="str">
        <f>+$V$30</f>
        <v>FY2031</v>
      </c>
      <c r="Z472" s="113" t="str">
        <f>+$W$30</f>
        <v>FY2032</v>
      </c>
      <c r="AA472" s="113" t="str">
        <f>+$X$30</f>
        <v>FY2033</v>
      </c>
      <c r="AB472" s="113" t="str">
        <f>+$Y$30</f>
        <v>FY2034</v>
      </c>
      <c r="AC472" s="113" t="str">
        <f>+$Z$30</f>
        <v>FY2035</v>
      </c>
      <c r="AD472" s="113" t="str">
        <f>+$AA$30</f>
        <v>FY2036</v>
      </c>
      <c r="AE472" s="113" t="str">
        <f>+$AB$30</f>
        <v>FY2037</v>
      </c>
      <c r="AF472" s="114" t="s">
        <v>101</v>
      </c>
    </row>
    <row r="473" spans="1:32" x14ac:dyDescent="0.25">
      <c r="A473" s="221" t="s">
        <v>56</v>
      </c>
      <c r="B473" s="394">
        <f>+B471/12</f>
        <v>0</v>
      </c>
      <c r="C473" s="394">
        <f>+C471/12</f>
        <v>0</v>
      </c>
      <c r="D473" s="394">
        <f t="shared" ref="D473" si="771">+D471/12</f>
        <v>0</v>
      </c>
      <c r="E473" s="394">
        <f t="shared" ref="E473:L473" si="772">+E471/12</f>
        <v>0</v>
      </c>
      <c r="F473" s="394">
        <f t="shared" si="772"/>
        <v>0</v>
      </c>
      <c r="G473" s="394">
        <f t="shared" si="772"/>
        <v>0</v>
      </c>
      <c r="H473" s="394">
        <f t="shared" si="772"/>
        <v>0</v>
      </c>
      <c r="I473" s="394">
        <f t="shared" si="772"/>
        <v>0</v>
      </c>
      <c r="J473" s="394">
        <f t="shared" si="772"/>
        <v>0</v>
      </c>
      <c r="K473" s="394">
        <f t="shared" si="772"/>
        <v>0</v>
      </c>
      <c r="L473" s="394">
        <f t="shared" si="772"/>
        <v>0</v>
      </c>
      <c r="M473" s="394">
        <f t="shared" ref="M473:N473" si="773">+M471/12</f>
        <v>0</v>
      </c>
      <c r="N473" s="394">
        <f t="shared" si="773"/>
        <v>0</v>
      </c>
      <c r="O473" s="89"/>
      <c r="P473" s="89"/>
      <c r="Q473" s="223"/>
      <c r="R473" s="30" t="s">
        <v>35</v>
      </c>
      <c r="S473" s="101">
        <f>+$P$31</f>
        <v>33930</v>
      </c>
      <c r="T473" s="101">
        <f>IF(ROUND(S473*(1+$AF473),0)=$Q$31,ROUND(S473*(1+$AF473),0),$Q$31)</f>
        <v>35627</v>
      </c>
      <c r="U473" s="101">
        <f t="shared" ref="U473:AE473" si="774">ROUND(T473*(1+$AF473),0)</f>
        <v>37408</v>
      </c>
      <c r="V473" s="101">
        <f t="shared" si="774"/>
        <v>39278</v>
      </c>
      <c r="W473" s="101">
        <f t="shared" si="774"/>
        <v>41242</v>
      </c>
      <c r="X473" s="101">
        <f t="shared" si="774"/>
        <v>43304</v>
      </c>
      <c r="Y473" s="101">
        <f t="shared" si="774"/>
        <v>45469</v>
      </c>
      <c r="Z473" s="101">
        <f t="shared" si="774"/>
        <v>47742</v>
      </c>
      <c r="AA473" s="101">
        <f t="shared" si="774"/>
        <v>50129</v>
      </c>
      <c r="AB473" s="101">
        <f t="shared" si="774"/>
        <v>52635</v>
      </c>
      <c r="AC473" s="101">
        <f t="shared" si="774"/>
        <v>55267</v>
      </c>
      <c r="AD473" s="101">
        <f t="shared" si="774"/>
        <v>58030</v>
      </c>
      <c r="AE473" s="101">
        <f t="shared" si="774"/>
        <v>60932</v>
      </c>
      <c r="AF473" s="31">
        <v>0.05</v>
      </c>
    </row>
    <row r="474" spans="1:32" x14ac:dyDescent="0.25">
      <c r="A474" s="220" t="s">
        <v>21</v>
      </c>
      <c r="B474" s="110">
        <f t="shared" ref="B474:K474" si="775">IF($O470=9,ROUND(B470*B472,0),IF($O470=12,ROUND((B470*B472*$Q$41)+(C470*B472*$Q$42),0),0))</f>
        <v>0</v>
      </c>
      <c r="C474" s="110">
        <f t="shared" si="775"/>
        <v>0</v>
      </c>
      <c r="D474" s="110">
        <f t="shared" si="775"/>
        <v>0</v>
      </c>
      <c r="E474" s="110">
        <f t="shared" si="775"/>
        <v>0</v>
      </c>
      <c r="F474" s="110">
        <f t="shared" si="775"/>
        <v>0</v>
      </c>
      <c r="G474" s="110">
        <f t="shared" si="775"/>
        <v>0</v>
      </c>
      <c r="H474" s="110">
        <f t="shared" si="775"/>
        <v>0</v>
      </c>
      <c r="I474" s="110">
        <f t="shared" si="775"/>
        <v>0</v>
      </c>
      <c r="J474" s="110">
        <f t="shared" si="775"/>
        <v>0</v>
      </c>
      <c r="K474" s="110">
        <f t="shared" si="775"/>
        <v>0</v>
      </c>
      <c r="L474" s="110">
        <f>IF($O470=9,ROUND(L470*L472,0),IF($O470=12,ROUND((L470*L472*$Q$41)+(N470*L472*$Q$42),0),0))</f>
        <v>0</v>
      </c>
      <c r="M474" s="110">
        <f>IF($O470=9,ROUND(M470*M472,0),IF($O470=12,ROUND((M470*M472*$Q$41)+(O470*M472*$Q$42),0),0))</f>
        <v>0</v>
      </c>
      <c r="N474" s="110">
        <f>IF($O470=9,ROUND(N470*N472,0),IF($O470=12,ROUND((N470*N472*$Q$41)+(P470*N472*$Q$42),0),0))</f>
        <v>0</v>
      </c>
      <c r="O474" s="89"/>
      <c r="P474" s="89"/>
      <c r="Q474" s="223"/>
      <c r="R474" s="30" t="s">
        <v>23</v>
      </c>
      <c r="S474" s="101">
        <f>+$P$32</f>
        <v>11310</v>
      </c>
      <c r="T474" s="101">
        <f>IF(ROUND(S474*(1+$AF474),0)=$Q$32,ROUND(S474*(1+$AF474),0),$Q$32)</f>
        <v>11876</v>
      </c>
      <c r="U474" s="101">
        <f t="shared" ref="U474:AE474" si="776">ROUND(T474*(1+$AF474),0)</f>
        <v>12470</v>
      </c>
      <c r="V474" s="101">
        <f t="shared" si="776"/>
        <v>13094</v>
      </c>
      <c r="W474" s="101">
        <f t="shared" si="776"/>
        <v>13749</v>
      </c>
      <c r="X474" s="101">
        <f t="shared" si="776"/>
        <v>14436</v>
      </c>
      <c r="Y474" s="101">
        <f t="shared" si="776"/>
        <v>15158</v>
      </c>
      <c r="Z474" s="101">
        <f t="shared" si="776"/>
        <v>15916</v>
      </c>
      <c r="AA474" s="101">
        <f t="shared" si="776"/>
        <v>16712</v>
      </c>
      <c r="AB474" s="101">
        <f t="shared" si="776"/>
        <v>17548</v>
      </c>
      <c r="AC474" s="101">
        <f t="shared" si="776"/>
        <v>18425</v>
      </c>
      <c r="AD474" s="101">
        <f t="shared" si="776"/>
        <v>19346</v>
      </c>
      <c r="AE474" s="101">
        <f t="shared" si="776"/>
        <v>20313</v>
      </c>
      <c r="AF474" s="66">
        <v>0.05</v>
      </c>
    </row>
    <row r="475" spans="1:32" x14ac:dyDescent="0.25">
      <c r="A475" s="220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89"/>
      <c r="P475" s="89"/>
      <c r="Q475" s="223"/>
      <c r="R475" s="30" t="s">
        <v>30</v>
      </c>
      <c r="S475" s="101">
        <f>+$P$33</f>
        <v>45240</v>
      </c>
      <c r="T475" s="101">
        <f>+T473+T474</f>
        <v>47503</v>
      </c>
      <c r="U475" s="101">
        <f t="shared" ref="U475:AD475" si="777">+U473+U474</f>
        <v>49878</v>
      </c>
      <c r="V475" s="101">
        <f t="shared" si="777"/>
        <v>52372</v>
      </c>
      <c r="W475" s="101">
        <f t="shared" si="777"/>
        <v>54991</v>
      </c>
      <c r="X475" s="101">
        <f t="shared" si="777"/>
        <v>57740</v>
      </c>
      <c r="Y475" s="101">
        <f t="shared" si="777"/>
        <v>60627</v>
      </c>
      <c r="Z475" s="101">
        <f t="shared" si="777"/>
        <v>63658</v>
      </c>
      <c r="AA475" s="101">
        <f t="shared" si="777"/>
        <v>66841</v>
      </c>
      <c r="AB475" s="101">
        <f t="shared" si="777"/>
        <v>70183</v>
      </c>
      <c r="AC475" s="101">
        <f t="shared" si="777"/>
        <v>73692</v>
      </c>
      <c r="AD475" s="101">
        <f t="shared" si="777"/>
        <v>77376</v>
      </c>
      <c r="AE475" s="101">
        <f t="shared" ref="AE475" si="778">+AE473+AE474</f>
        <v>81245</v>
      </c>
      <c r="AF475" s="31"/>
    </row>
    <row r="476" spans="1:32" x14ac:dyDescent="0.25">
      <c r="A476" s="220"/>
      <c r="B476" s="104" t="str">
        <f t="shared" ref="B476:L476" si="779">IF(AND(B477=$AE$5,$O478=9),$AE$3,IF(AND(B477=$AF$5,$O478=9),$AF$3,IF(AND(B477=$AG$5,$O478=9),$AG$3,IF(AND(B477=$AH$5,$O478=9),$AH$3,IF(AND(B477=$AI$5,$O478=9),$AI$3,IF(AND(B477=$AJ$5,$O478=9),$AJ$3,IF(AND(B477=$AK$5,$O478=9),$AK$3,IF(AND(B477=$AL$5,$O478=9),$AL$3,IF(AND(B477=$AM$5,$O478=9),$AM$3,IF(AND(B477=$AN$5,$O478=9),$AN$3,IF(AND(B477=$AO$5,$O478=9),$AO$3,IF(AND(B477=$AP$5,$O478=9),$AJ$3,IF(AND(B477=$AE$4,$O478=12),$AE$3,IF(AND(B477=$AF$4,$O478=12),$AF$3,IF(AND(B477=$AG$4,$O478=12),$AG$3,IF(AND(B477=$AH$4,$O478=12),$AH$3,IF(AND(B477=$AI$4,$O478=12),$AI$3,IF(AND(B477=$AJ$4,$O478=12),$AJ$3,IF(AND(B477=$AK$4,$O478=12),$AK$3,IF(AND(B477=$AL$4,$O478=12),$AL$3,IF(AND(B477=$AM$4,$O478=12),$AM$3,IF(AND(B477=$AN$4,$O478=12),$AN$3,IF(AND(B477=$AO$4,$O478=12),$AO$3,IF(AND(B477=$AP$4,$O478=12),$AJ$3," "))))))))))))))))))))))))</f>
        <v>Year 1</v>
      </c>
      <c r="C476" s="104" t="str">
        <f t="shared" si="779"/>
        <v>Year 2</v>
      </c>
      <c r="D476" s="104" t="str">
        <f t="shared" si="779"/>
        <v>Year 3</v>
      </c>
      <c r="E476" s="104" t="str">
        <f t="shared" si="779"/>
        <v>Year 4</v>
      </c>
      <c r="F476" s="104" t="str">
        <f t="shared" si="779"/>
        <v>Year 5</v>
      </c>
      <c r="G476" s="104" t="str">
        <f t="shared" si="779"/>
        <v>Year 6</v>
      </c>
      <c r="H476" s="104" t="str">
        <f t="shared" si="779"/>
        <v>Year 7</v>
      </c>
      <c r="I476" s="104" t="str">
        <f t="shared" si="779"/>
        <v>Year 8</v>
      </c>
      <c r="J476" s="104" t="str">
        <f t="shared" si="779"/>
        <v>Year 9</v>
      </c>
      <c r="K476" s="104" t="str">
        <f t="shared" si="779"/>
        <v>Year 10</v>
      </c>
      <c r="L476" s="104" t="str">
        <f t="shared" si="779"/>
        <v>Year 11</v>
      </c>
      <c r="M476" s="104" t="str">
        <f t="shared" ref="M476" si="780">IF(AND(M477=$AE$5,$O478=9),$AE$3,IF(AND(M477=$AF$5,$O478=9),$AF$3,IF(AND(M477=$AG$5,$O478=9),$AG$3,IF(AND(M477=$AH$5,$O478=9),$AH$3,IF(AND(M477=$AI$5,$O478=9),$AI$3,IF(AND(M477=$AJ$5,$O478=9),$AJ$3,IF(AND(M477=$AK$5,$O478=9),$AK$3,IF(AND(M477=$AL$5,$O478=9),$AL$3,IF(AND(M477=$AM$5,$O478=9),$AM$3,IF(AND(M477=$AN$5,$O478=9),$AN$3,IF(AND(M477=$AO$5,$O478=9),$AO$3,IF(AND(M477=$AP$5,$O478=9),$AJ$3,IF(AND(M477=$AE$4,$O478=12),$AE$3,IF(AND(M477=$AF$4,$O478=12),$AF$3,IF(AND(M477=$AG$4,$O478=12),$AG$3,IF(AND(M477=$AH$4,$O478=12),$AH$3,IF(AND(M477=$AI$4,$O478=12),$AI$3,IF(AND(M477=$AJ$4,$O478=12),$AJ$3,IF(AND(M477=$AK$4,$O478=12),$AK$3,IF(AND(M477=$AL$4,$O478=12),$AL$3,IF(AND(M477=$AM$4,$O478=12),$AM$3,IF(AND(M477=$AN$4,$O478=12),$AN$3,IF(AND(M477=$AO$4,$O478=12),$AO$3,IF(AND(M477=$AP$4,$O478=12),$AJ$3," "))))))))))))))))))))))))</f>
        <v>Year 6</v>
      </c>
      <c r="N476" s="104"/>
      <c r="O476" s="89"/>
      <c r="P476" s="89"/>
      <c r="Q476" s="223"/>
      <c r="R476" s="30" t="s">
        <v>8</v>
      </c>
      <c r="S476" s="101">
        <f t="shared" ref="S476:AE476" si="781">IF($B$436="Contract College",P$34,P$35)</f>
        <v>10400</v>
      </c>
      <c r="T476" s="101">
        <f t="shared" si="781"/>
        <v>10400</v>
      </c>
      <c r="U476" s="101">
        <f t="shared" si="781"/>
        <v>10400</v>
      </c>
      <c r="V476" s="101">
        <f t="shared" si="781"/>
        <v>10400</v>
      </c>
      <c r="W476" s="101">
        <f t="shared" si="781"/>
        <v>10400</v>
      </c>
      <c r="X476" s="101">
        <f t="shared" si="781"/>
        <v>10400</v>
      </c>
      <c r="Y476" s="101">
        <f t="shared" si="781"/>
        <v>10400</v>
      </c>
      <c r="Z476" s="101">
        <f t="shared" si="781"/>
        <v>10400</v>
      </c>
      <c r="AA476" s="101">
        <f t="shared" si="781"/>
        <v>10400</v>
      </c>
      <c r="AB476" s="101">
        <f t="shared" si="781"/>
        <v>10400</v>
      </c>
      <c r="AC476" s="101">
        <f t="shared" si="781"/>
        <v>10400</v>
      </c>
      <c r="AD476" s="101">
        <f t="shared" si="781"/>
        <v>10400</v>
      </c>
      <c r="AE476" s="101">
        <f t="shared" si="781"/>
        <v>10400</v>
      </c>
      <c r="AF476" s="31">
        <v>0</v>
      </c>
    </row>
    <row r="477" spans="1:32" x14ac:dyDescent="0.25">
      <c r="A477" s="219" t="s">
        <v>102</v>
      </c>
      <c r="B477" s="55" t="str">
        <f t="shared" ref="B477:I477" si="782">+N$2</f>
        <v>FY2025</v>
      </c>
      <c r="C477" s="55" t="str">
        <f t="shared" si="782"/>
        <v>FY2026</v>
      </c>
      <c r="D477" s="55" t="str">
        <f t="shared" si="782"/>
        <v>FY2027</v>
      </c>
      <c r="E477" s="55" t="str">
        <f t="shared" si="782"/>
        <v>FY2028</v>
      </c>
      <c r="F477" s="55" t="str">
        <f t="shared" si="782"/>
        <v>FY2029</v>
      </c>
      <c r="G477" s="55" t="str">
        <f t="shared" si="782"/>
        <v>FY2030</v>
      </c>
      <c r="H477" s="55" t="str">
        <f t="shared" si="782"/>
        <v>FY2031</v>
      </c>
      <c r="I477" s="55" t="str">
        <f t="shared" si="782"/>
        <v>FY2032</v>
      </c>
      <c r="J477" s="55" t="str">
        <f t="shared" ref="J477" si="783">+V$2</f>
        <v>FY2033</v>
      </c>
      <c r="K477" s="55" t="str">
        <f t="shared" ref="K477:M477" si="784">+W$2</f>
        <v>FY2034</v>
      </c>
      <c r="L477" s="55" t="str">
        <f t="shared" si="784"/>
        <v>FY2035</v>
      </c>
      <c r="M477" s="55" t="str">
        <f t="shared" si="784"/>
        <v>FY2036</v>
      </c>
      <c r="N477" s="55"/>
      <c r="O477" s="32" t="s">
        <v>20</v>
      </c>
      <c r="P477" s="89"/>
      <c r="Q477" s="223"/>
      <c r="R477" s="30" t="s">
        <v>24</v>
      </c>
      <c r="S477" s="101">
        <f>+$P$36</f>
        <v>4378</v>
      </c>
      <c r="T477" s="101">
        <f>IF(ROUND(S477*(1+$AF477),0)=$Q$36,ROUND(S477*(1+$AF477),0),$Q$36)</f>
        <v>4816</v>
      </c>
      <c r="U477" s="101">
        <f t="shared" ref="U477:AE477" si="785">ROUND(T477*(1+$AF477),0)</f>
        <v>5298</v>
      </c>
      <c r="V477" s="101">
        <f t="shared" si="785"/>
        <v>5828</v>
      </c>
      <c r="W477" s="101">
        <f t="shared" si="785"/>
        <v>6411</v>
      </c>
      <c r="X477" s="101">
        <f t="shared" si="785"/>
        <v>7052</v>
      </c>
      <c r="Y477" s="101">
        <f t="shared" si="785"/>
        <v>7757</v>
      </c>
      <c r="Z477" s="101">
        <f t="shared" si="785"/>
        <v>8533</v>
      </c>
      <c r="AA477" s="101">
        <f t="shared" si="785"/>
        <v>9386</v>
      </c>
      <c r="AB477" s="101">
        <f t="shared" si="785"/>
        <v>10325</v>
      </c>
      <c r="AC477" s="101">
        <f t="shared" si="785"/>
        <v>11358</v>
      </c>
      <c r="AD477" s="101">
        <f t="shared" si="785"/>
        <v>12494</v>
      </c>
      <c r="AE477" s="101">
        <f t="shared" si="785"/>
        <v>13743</v>
      </c>
      <c r="AF477" s="31">
        <v>0.1</v>
      </c>
    </row>
    <row r="478" spans="1:32" x14ac:dyDescent="0.25">
      <c r="A478" s="220" t="str">
        <f>CONCATENATE("Base Salary: ",O478," month term")</f>
        <v>Base Salary: 12 month term</v>
      </c>
      <c r="B478" s="62">
        <f>PostdocMinRate</f>
        <v>61008</v>
      </c>
      <c r="C478" s="440">
        <f t="shared" ref="C478:M478" si="786">ROUND(+B478*(1+(HLOOKUP(C477,FringeAndIDCRates,11,FALSE))),0)</f>
        <v>63143</v>
      </c>
      <c r="D478" s="440">
        <f t="shared" si="786"/>
        <v>65227</v>
      </c>
      <c r="E478" s="440">
        <f t="shared" si="786"/>
        <v>67184</v>
      </c>
      <c r="F478" s="440">
        <f t="shared" si="786"/>
        <v>69200</v>
      </c>
      <c r="G478" s="440">
        <f t="shared" si="786"/>
        <v>71276</v>
      </c>
      <c r="H478" s="440">
        <f t="shared" si="786"/>
        <v>73414</v>
      </c>
      <c r="I478" s="440">
        <f t="shared" si="786"/>
        <v>75616</v>
      </c>
      <c r="J478" s="440">
        <f t="shared" si="786"/>
        <v>77884</v>
      </c>
      <c r="K478" s="440">
        <f t="shared" si="786"/>
        <v>80221</v>
      </c>
      <c r="L478" s="440">
        <f t="shared" si="786"/>
        <v>82628</v>
      </c>
      <c r="M478" s="440">
        <f t="shared" si="786"/>
        <v>85107</v>
      </c>
      <c r="N478" s="109"/>
      <c r="O478" s="317">
        <v>12</v>
      </c>
      <c r="P478" s="318"/>
      <c r="Q478" s="223"/>
      <c r="Y478" s="23"/>
    </row>
    <row r="479" spans="1:32" x14ac:dyDescent="0.25">
      <c r="A479" s="220" t="s">
        <v>44</v>
      </c>
      <c r="B479" s="312">
        <v>0</v>
      </c>
      <c r="C479" s="312">
        <v>0</v>
      </c>
      <c r="D479" s="312">
        <v>0</v>
      </c>
      <c r="E479" s="312">
        <v>0</v>
      </c>
      <c r="F479" s="312">
        <v>0</v>
      </c>
      <c r="G479" s="312">
        <v>0</v>
      </c>
      <c r="H479" s="312">
        <v>0</v>
      </c>
      <c r="I479" s="312">
        <v>0</v>
      </c>
      <c r="J479" s="312">
        <v>0</v>
      </c>
      <c r="K479" s="312">
        <v>0</v>
      </c>
      <c r="L479" s="312">
        <v>0</v>
      </c>
      <c r="M479" s="312">
        <v>0</v>
      </c>
      <c r="N479" s="400"/>
      <c r="O479" s="25"/>
      <c r="P479" s="25"/>
      <c r="Q479" s="223"/>
      <c r="R479" s="116"/>
      <c r="Y479" s="23"/>
    </row>
    <row r="480" spans="1:32" x14ac:dyDescent="0.25">
      <c r="A480" s="220" t="str">
        <f>CONCATENATE("FTE for ",O478," Months")</f>
        <v>FTE for 12 Months</v>
      </c>
      <c r="B480" s="393">
        <f t="shared" ref="B480:L480" si="787">+B479/$O478</f>
        <v>0</v>
      </c>
      <c r="C480" s="393">
        <f t="shared" si="787"/>
        <v>0</v>
      </c>
      <c r="D480" s="393">
        <f t="shared" si="787"/>
        <v>0</v>
      </c>
      <c r="E480" s="393">
        <f t="shared" si="787"/>
        <v>0</v>
      </c>
      <c r="F480" s="393">
        <f t="shared" si="787"/>
        <v>0</v>
      </c>
      <c r="G480" s="393">
        <f t="shared" si="787"/>
        <v>0</v>
      </c>
      <c r="H480" s="393">
        <f t="shared" si="787"/>
        <v>0</v>
      </c>
      <c r="I480" s="393">
        <f t="shared" si="787"/>
        <v>0</v>
      </c>
      <c r="J480" s="393">
        <f t="shared" si="787"/>
        <v>0</v>
      </c>
      <c r="K480" s="393">
        <f t="shared" si="787"/>
        <v>0</v>
      </c>
      <c r="L480" s="393">
        <f t="shared" si="787"/>
        <v>0</v>
      </c>
      <c r="M480" s="393">
        <f t="shared" ref="M480" si="788">+M479/$O478</f>
        <v>0</v>
      </c>
      <c r="N480" s="401"/>
      <c r="O480" s="89"/>
      <c r="P480" s="89"/>
      <c r="Q480" s="223"/>
      <c r="S480" s="53" t="str">
        <f t="shared" ref="S480:AC480" si="789">+S399</f>
        <v>Spring 2025</v>
      </c>
      <c r="T480" s="53" t="str">
        <f t="shared" si="789"/>
        <v>Spring 2026</v>
      </c>
      <c r="U480" s="53" t="str">
        <f t="shared" si="789"/>
        <v>Spring 2027</v>
      </c>
      <c r="V480" s="53" t="str">
        <f t="shared" si="789"/>
        <v>Spring 2028</v>
      </c>
      <c r="W480" s="53" t="str">
        <f t="shared" si="789"/>
        <v>Spring 2029</v>
      </c>
      <c r="X480" s="53" t="str">
        <f t="shared" si="789"/>
        <v>Spring 2030</v>
      </c>
      <c r="Y480" s="53" t="str">
        <f t="shared" si="789"/>
        <v>Spring 2031</v>
      </c>
      <c r="Z480" s="53" t="str">
        <f t="shared" si="789"/>
        <v>Spring 2032</v>
      </c>
      <c r="AA480" s="53" t="str">
        <f t="shared" si="789"/>
        <v>Spring 2033</v>
      </c>
      <c r="AB480" s="53" t="str">
        <f t="shared" si="789"/>
        <v>Spring 2034</v>
      </c>
      <c r="AC480" s="53" t="str">
        <f t="shared" si="789"/>
        <v>Spring 2035</v>
      </c>
      <c r="AD480" s="53" t="str">
        <f t="shared" ref="AD480" si="790">+AD399</f>
        <v>Spring 2036</v>
      </c>
    </row>
    <row r="481" spans="1:30" x14ac:dyDescent="0.25">
      <c r="A481" s="220" t="s">
        <v>21</v>
      </c>
      <c r="B481" s="110">
        <f t="shared" ref="B481:K481" si="791">ROUND((B478*B480*$Q$41)+(C478*B480*$Q$42),0)</f>
        <v>0</v>
      </c>
      <c r="C481" s="110">
        <f t="shared" si="791"/>
        <v>0</v>
      </c>
      <c r="D481" s="110">
        <f t="shared" si="791"/>
        <v>0</v>
      </c>
      <c r="E481" s="110">
        <f t="shared" si="791"/>
        <v>0</v>
      </c>
      <c r="F481" s="110">
        <f t="shared" si="791"/>
        <v>0</v>
      </c>
      <c r="G481" s="110">
        <f t="shared" si="791"/>
        <v>0</v>
      </c>
      <c r="H481" s="110">
        <f t="shared" si="791"/>
        <v>0</v>
      </c>
      <c r="I481" s="110">
        <f t="shared" si="791"/>
        <v>0</v>
      </c>
      <c r="J481" s="110">
        <f t="shared" si="791"/>
        <v>0</v>
      </c>
      <c r="K481" s="110">
        <f t="shared" si="791"/>
        <v>0</v>
      </c>
      <c r="L481" s="110">
        <f>ROUND((L478*L480*$Q$41)+(N478*L480*$Q$42),0)</f>
        <v>0</v>
      </c>
      <c r="M481" s="110">
        <f>ROUND((M478*M480*$Q$41)+(O478*M480*$Q$42),0)</f>
        <v>0</v>
      </c>
      <c r="N481" s="402"/>
      <c r="O481" s="89"/>
      <c r="P481" s="89"/>
      <c r="Q481" s="223"/>
      <c r="S481" s="53" t="str">
        <f t="shared" ref="S481:AC481" si="792">+S400</f>
        <v>Summer 2025</v>
      </c>
      <c r="T481" s="53" t="str">
        <f t="shared" si="792"/>
        <v>Summer 2026</v>
      </c>
      <c r="U481" s="53" t="str">
        <f t="shared" si="792"/>
        <v>Summer 2027</v>
      </c>
      <c r="V481" s="53" t="str">
        <f t="shared" si="792"/>
        <v>Summer 2028</v>
      </c>
      <c r="W481" s="53" t="str">
        <f t="shared" si="792"/>
        <v>Summer 2029</v>
      </c>
      <c r="X481" s="53" t="str">
        <f t="shared" si="792"/>
        <v>Summer 2030</v>
      </c>
      <c r="Y481" s="53" t="str">
        <f t="shared" si="792"/>
        <v>Summer 2031</v>
      </c>
      <c r="Z481" s="53" t="str">
        <f t="shared" si="792"/>
        <v>Summer 2032</v>
      </c>
      <c r="AA481" s="53" t="str">
        <f t="shared" si="792"/>
        <v>Summer 2033</v>
      </c>
      <c r="AB481" s="53" t="str">
        <f t="shared" si="792"/>
        <v>Summer 2034</v>
      </c>
      <c r="AC481" s="53" t="str">
        <f t="shared" si="792"/>
        <v>Summer 2035</v>
      </c>
      <c r="AD481" s="53" t="str">
        <f t="shared" ref="AD481" si="793">+AD400</f>
        <v>Summer 2036</v>
      </c>
    </row>
    <row r="482" spans="1:30" x14ac:dyDescent="0.25">
      <c r="A482" s="220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6"/>
      <c r="P482" s="26"/>
      <c r="Q482" s="224"/>
      <c r="S482" s="53" t="str">
        <f t="shared" ref="S482:AC482" si="794">+S401</f>
        <v>Fall 2025</v>
      </c>
      <c r="T482" s="53" t="str">
        <f t="shared" si="794"/>
        <v>Fall 2026</v>
      </c>
      <c r="U482" s="53" t="str">
        <f t="shared" si="794"/>
        <v>Fall 2027</v>
      </c>
      <c r="V482" s="53" t="str">
        <f t="shared" si="794"/>
        <v>Fall 2028</v>
      </c>
      <c r="W482" s="53" t="str">
        <f t="shared" si="794"/>
        <v>Fall 2029</v>
      </c>
      <c r="X482" s="53" t="str">
        <f t="shared" si="794"/>
        <v>Fall 2030</v>
      </c>
      <c r="Y482" s="53" t="str">
        <f t="shared" si="794"/>
        <v>Fall 2031</v>
      </c>
      <c r="Z482" s="53" t="str">
        <f t="shared" si="794"/>
        <v>Fall 2032</v>
      </c>
      <c r="AA482" s="53" t="str">
        <f t="shared" si="794"/>
        <v>Fall 2033</v>
      </c>
      <c r="AB482" s="53" t="str">
        <f t="shared" si="794"/>
        <v>Fall 2034</v>
      </c>
      <c r="AC482" s="53" t="str">
        <f t="shared" si="794"/>
        <v>Fall 2035</v>
      </c>
      <c r="AD482" s="53" t="str">
        <f t="shared" ref="AD482" si="795">+AD401</f>
        <v>Fall 2036</v>
      </c>
    </row>
    <row r="483" spans="1:30" x14ac:dyDescent="0.25">
      <c r="A483" s="220"/>
      <c r="B483" s="104" t="str">
        <f t="shared" ref="B483:L483" si="796">IF(AND(B484=$AE$5,$O485=9),$AE$3,IF(AND(B484=$AF$5,$O485=9),$AF$3,IF(AND(B484=$AG$5,$O485=9),$AG$3,IF(AND(B484=$AH$5,$O485=9),$AH$3,IF(AND(B484=$AI$5,$O485=9),$AI$3,IF(AND(B484=$AJ$5,$O485=9),$AJ$3,IF(AND(B484=$AK$5,$O485=9),$AK$3,IF(AND(B484=$AL$5,$O485=9),$AL$3,IF(AND(B484=$AM$5,$O485=9),$AM$3,IF(AND(B484=$AN$5,$O485=9),$AN$3,IF(AND(B484=$AO$5,$O485=9),$AO$3,IF(AND(B484=$AP$5,$O485=9),$AJ$3,IF(AND(B484=$AE$4,$O485=12),$AE$3,IF(AND(B484=$AF$4,$O485=12),$AF$3,IF(AND(B484=$AG$4,$O485=12),$AG$3,IF(AND(B484=$AH$4,$O485=12),$AH$3,IF(AND(B484=$AI$4,$O485=12),$AI$3,IF(AND(B484=$AJ$4,$O485=12),$AJ$3,IF(AND(B484=$AK$4,$O485=12),$AK$3,IF(AND(B484=$AL$4,$O485=12),$AL$3,IF(AND(B484=$AM$4,$O485=12),$AM$3,IF(AND(B484=$AN$4,$O485=12),$AN$3,IF(AND(B484=$AO$4,$O485=12),$AO$3,IF(AND(B484=$AP$4,$O485=12),$AJ$3," "))))))))))))))))))))))))</f>
        <v>Year 1</v>
      </c>
      <c r="C483" s="104" t="str">
        <f t="shared" si="796"/>
        <v>Year 2</v>
      </c>
      <c r="D483" s="104" t="str">
        <f t="shared" si="796"/>
        <v>Year 3</v>
      </c>
      <c r="E483" s="104" t="str">
        <f t="shared" si="796"/>
        <v>Year 4</v>
      </c>
      <c r="F483" s="104" t="str">
        <f t="shared" si="796"/>
        <v>Year 5</v>
      </c>
      <c r="G483" s="104" t="str">
        <f t="shared" si="796"/>
        <v>Year 6</v>
      </c>
      <c r="H483" s="104" t="str">
        <f t="shared" si="796"/>
        <v>Year 7</v>
      </c>
      <c r="I483" s="104" t="str">
        <f t="shared" si="796"/>
        <v>Year 8</v>
      </c>
      <c r="J483" s="104" t="str">
        <f t="shared" si="796"/>
        <v>Year 9</v>
      </c>
      <c r="K483" s="104" t="str">
        <f t="shared" si="796"/>
        <v>Year 10</v>
      </c>
      <c r="L483" s="104" t="str">
        <f t="shared" si="796"/>
        <v>Year 11</v>
      </c>
      <c r="M483" s="104" t="str">
        <f t="shared" ref="M483" si="797">IF(AND(M484=$AE$5,$O485=9),$AE$3,IF(AND(M484=$AF$5,$O485=9),$AF$3,IF(AND(M484=$AG$5,$O485=9),$AG$3,IF(AND(M484=$AH$5,$O485=9),$AH$3,IF(AND(M484=$AI$5,$O485=9),$AI$3,IF(AND(M484=$AJ$5,$O485=9),$AJ$3,IF(AND(M484=$AK$5,$O485=9),$AK$3,IF(AND(M484=$AL$5,$O485=9),$AL$3,IF(AND(M484=$AM$5,$O485=9),$AM$3,IF(AND(M484=$AN$5,$O485=9),$AN$3,IF(AND(M484=$AO$5,$O485=9),$AO$3,IF(AND(M484=$AP$5,$O485=9),$AJ$3,IF(AND(M484=$AE$4,$O485=12),$AE$3,IF(AND(M484=$AF$4,$O485=12),$AF$3,IF(AND(M484=$AG$4,$O485=12),$AG$3,IF(AND(M484=$AH$4,$O485=12),$AH$3,IF(AND(M484=$AI$4,$O485=12),$AI$3,IF(AND(M484=$AJ$4,$O485=12),$AJ$3,IF(AND(M484=$AK$4,$O485=12),$AK$3,IF(AND(M484=$AL$4,$O485=12),$AL$3,IF(AND(M484=$AM$4,$O485=12),$AM$3,IF(AND(M484=$AN$4,$O485=12),$AN$3,IF(AND(M484=$AO$4,$O485=12),$AO$3,IF(AND(M484=$AP$4,$O485=12),$AJ$3," "))))))))))))))))))))))))</f>
        <v>Year 6</v>
      </c>
      <c r="N483" s="104"/>
      <c r="O483" s="26"/>
      <c r="P483" s="26"/>
      <c r="Q483" s="224"/>
      <c r="S483" s="34" t="str">
        <f t="shared" ref="S483:AC483" si="798">+S402</f>
        <v>FY2025&amp;26</v>
      </c>
      <c r="T483" s="34" t="str">
        <f t="shared" si="798"/>
        <v>FY2026&amp;27</v>
      </c>
      <c r="U483" s="34" t="str">
        <f t="shared" si="798"/>
        <v>FY2027&amp;28</v>
      </c>
      <c r="V483" s="34" t="str">
        <f t="shared" si="798"/>
        <v>FY2028&amp;29</v>
      </c>
      <c r="W483" s="34" t="str">
        <f t="shared" si="798"/>
        <v>FY2029&amp;30</v>
      </c>
      <c r="X483" s="34" t="str">
        <f t="shared" si="798"/>
        <v>FY2030&amp;31</v>
      </c>
      <c r="Y483" s="34" t="str">
        <f t="shared" si="798"/>
        <v>FY2031&amp;32</v>
      </c>
      <c r="Z483" s="34" t="str">
        <f t="shared" si="798"/>
        <v>FY2032&amp;33</v>
      </c>
      <c r="AA483" s="34" t="str">
        <f t="shared" si="798"/>
        <v>FY2033&amp;34</v>
      </c>
      <c r="AB483" s="34" t="str">
        <f t="shared" si="798"/>
        <v>FY2034&amp;35</v>
      </c>
      <c r="AC483" s="34" t="str">
        <f t="shared" si="798"/>
        <v>FY2035&amp;36</v>
      </c>
      <c r="AD483" s="34" t="str">
        <f t="shared" ref="AD483" si="799">+AD402</f>
        <v>FY2036&amp;</v>
      </c>
    </row>
    <row r="484" spans="1:30" ht="15.75" thickBot="1" x14ac:dyDescent="0.3">
      <c r="A484" s="219" t="s">
        <v>74</v>
      </c>
      <c r="B484" s="55" t="str">
        <f t="shared" ref="B484:I484" si="800">+N$2</f>
        <v>FY2025</v>
      </c>
      <c r="C484" s="55" t="str">
        <f t="shared" si="800"/>
        <v>FY2026</v>
      </c>
      <c r="D484" s="55" t="str">
        <f t="shared" si="800"/>
        <v>FY2027</v>
      </c>
      <c r="E484" s="55" t="str">
        <f t="shared" si="800"/>
        <v>FY2028</v>
      </c>
      <c r="F484" s="55" t="str">
        <f t="shared" si="800"/>
        <v>FY2029</v>
      </c>
      <c r="G484" s="55" t="str">
        <f t="shared" si="800"/>
        <v>FY2030</v>
      </c>
      <c r="H484" s="55" t="str">
        <f t="shared" si="800"/>
        <v>FY2031</v>
      </c>
      <c r="I484" s="55" t="str">
        <f t="shared" si="800"/>
        <v>FY2032</v>
      </c>
      <c r="J484" s="55" t="str">
        <f t="shared" ref="J484" si="801">+V$2</f>
        <v>FY2033</v>
      </c>
      <c r="K484" s="55" t="str">
        <f t="shared" ref="K484:M484" si="802">+W$2</f>
        <v>FY2034</v>
      </c>
      <c r="L484" s="55" t="str">
        <f t="shared" si="802"/>
        <v>FY2035</v>
      </c>
      <c r="M484" s="55" t="str">
        <f t="shared" si="802"/>
        <v>FY2036</v>
      </c>
      <c r="N484" s="55"/>
      <c r="O484" s="32" t="s">
        <v>20</v>
      </c>
      <c r="P484" s="89"/>
      <c r="Q484" s="223"/>
      <c r="R484" s="35" t="s">
        <v>71</v>
      </c>
      <c r="S484" s="50" t="s">
        <v>1</v>
      </c>
      <c r="T484" s="51" t="s">
        <v>2</v>
      </c>
      <c r="U484" s="51" t="s">
        <v>3</v>
      </c>
      <c r="V484" s="51" t="s">
        <v>39</v>
      </c>
      <c r="W484" s="51" t="s">
        <v>45</v>
      </c>
      <c r="X484" s="51" t="s">
        <v>183</v>
      </c>
      <c r="Y484" s="51" t="s">
        <v>184</v>
      </c>
      <c r="Z484" s="51" t="s">
        <v>185</v>
      </c>
      <c r="AA484" s="51" t="s">
        <v>186</v>
      </c>
      <c r="AB484" s="51" t="s">
        <v>187</v>
      </c>
      <c r="AC484" s="51" t="s">
        <v>188</v>
      </c>
      <c r="AD484" s="51" t="s">
        <v>189</v>
      </c>
    </row>
    <row r="485" spans="1:30" x14ac:dyDescent="0.25">
      <c r="A485" s="220" t="str">
        <f>CONCATENATE("Base Salary: ",O485," month term")</f>
        <v>Base Salary: 12 month term</v>
      </c>
      <c r="B485" s="313">
        <v>47476</v>
      </c>
      <c r="C485" s="440">
        <f t="shared" ref="C485:M485" si="803">ROUND(+B485*(1+(HLOOKUP(C484,FringeAndIDCRates,11,FALSE))),0)</f>
        <v>49138</v>
      </c>
      <c r="D485" s="440">
        <f t="shared" si="803"/>
        <v>50760</v>
      </c>
      <c r="E485" s="440">
        <f t="shared" si="803"/>
        <v>52283</v>
      </c>
      <c r="F485" s="440">
        <f t="shared" si="803"/>
        <v>53851</v>
      </c>
      <c r="G485" s="440">
        <f t="shared" si="803"/>
        <v>55467</v>
      </c>
      <c r="H485" s="440">
        <f t="shared" si="803"/>
        <v>57131</v>
      </c>
      <c r="I485" s="440">
        <f t="shared" si="803"/>
        <v>58845</v>
      </c>
      <c r="J485" s="440">
        <f t="shared" si="803"/>
        <v>60610</v>
      </c>
      <c r="K485" s="440">
        <f t="shared" si="803"/>
        <v>62428</v>
      </c>
      <c r="L485" s="440">
        <f t="shared" si="803"/>
        <v>64301</v>
      </c>
      <c r="M485" s="440">
        <f t="shared" si="803"/>
        <v>66230</v>
      </c>
      <c r="N485" s="109"/>
      <c r="O485" s="317">
        <v>12</v>
      </c>
      <c r="P485" s="311"/>
      <c r="Q485" s="225"/>
      <c r="R485" s="61" t="str">
        <f>CONCATENATE("Number of Students ",IF(AND($AD$2&gt;=7,$AD$2&lt;=9),CONCATENATE("(Fall)"),IF(AND($AD$2&gt;=7,$AD$2&lt;=10),CONCATENATE("(Spring)"),IF(OR($AD$2&gt;=10,$AD$2&lt;=2),CONCATENATE("(Spring)"),IF(AND($AD$2&gt;=7,$AD$2&lt;=10),CONCATENATE("(Summer)"),IF(OR($AD$2&gt;=10,$AD$2&lt;=2),CONCATENATE("(Summer)"),IF(AND($AD$2&gt;=3,$AD$2&lt;=6),CONCATENATE("(Summer)"),"N/A")))))))</f>
        <v>Number of Students (Spring)</v>
      </c>
      <c r="S485" s="60">
        <f t="shared" ref="S485:X487" si="804">+B491</f>
        <v>0</v>
      </c>
      <c r="T485" s="60">
        <f t="shared" si="804"/>
        <v>0</v>
      </c>
      <c r="U485" s="60">
        <f t="shared" si="804"/>
        <v>0</v>
      </c>
      <c r="V485" s="60">
        <f t="shared" si="804"/>
        <v>0</v>
      </c>
      <c r="W485" s="60">
        <f t="shared" si="804"/>
        <v>0</v>
      </c>
      <c r="X485" s="60">
        <f t="shared" si="804"/>
        <v>0</v>
      </c>
      <c r="Y485" s="60">
        <f t="shared" ref="Y485:Y487" si="805">+H491</f>
        <v>0</v>
      </c>
      <c r="Z485" s="60">
        <f t="shared" ref="Z485:Z487" si="806">+I491</f>
        <v>0</v>
      </c>
      <c r="AA485" s="60">
        <f t="shared" ref="AA485:AA487" si="807">+J491</f>
        <v>0</v>
      </c>
      <c r="AB485" s="60">
        <f t="shared" ref="AB485:AD487" si="808">+K491</f>
        <v>0</v>
      </c>
      <c r="AC485" s="60">
        <f t="shared" si="808"/>
        <v>0</v>
      </c>
      <c r="AD485" s="60">
        <f t="shared" si="808"/>
        <v>0</v>
      </c>
    </row>
    <row r="486" spans="1:30" x14ac:dyDescent="0.25">
      <c r="A486" s="220" t="s">
        <v>44</v>
      </c>
      <c r="B486" s="312">
        <v>0</v>
      </c>
      <c r="C486" s="312">
        <v>0</v>
      </c>
      <c r="D486" s="312">
        <v>0</v>
      </c>
      <c r="E486" s="312">
        <v>0</v>
      </c>
      <c r="F486" s="312">
        <v>0</v>
      </c>
      <c r="G486" s="312">
        <v>0</v>
      </c>
      <c r="H486" s="312">
        <v>0</v>
      </c>
      <c r="I486" s="312">
        <v>0</v>
      </c>
      <c r="J486" s="312">
        <v>0</v>
      </c>
      <c r="K486" s="312">
        <v>0</v>
      </c>
      <c r="L486" s="312">
        <v>0</v>
      </c>
      <c r="M486" s="312">
        <v>0</v>
      </c>
      <c r="N486" s="400"/>
      <c r="O486" s="25"/>
      <c r="P486" s="25"/>
      <c r="Q486" s="220"/>
      <c r="R486" s="115" t="str">
        <f>CONCATENATE("Number of Students ",IF(AND($AD$2&gt;=7,$AD$2&lt;=9),CONCATENATE("(Spring)"),IF(AND($AD$2&gt;=7,$AD$2&lt;=10),CONCATENATE("(Summer)"),IF(OR($AD$2&gt;=10,$AD$2&lt;=2),CONCATENATE("(Summer)"),IF(AND($AD$2&gt;=7,$AD$2&lt;=10),CONCATENATE("(Fall)"),IF(OR($AD$2&gt;=10,$AD$2&lt;=2),CONCATENATE("(Fall) "),IF(AND($AD$2&gt;=3,$AD$2&lt;=6),CONCATENATE("(Fall)"),"N/A")))))))</f>
        <v>Number of Students (Summer)</v>
      </c>
      <c r="S486" s="60">
        <f t="shared" si="804"/>
        <v>0</v>
      </c>
      <c r="T486" s="60">
        <f t="shared" si="804"/>
        <v>0</v>
      </c>
      <c r="U486" s="60">
        <f t="shared" si="804"/>
        <v>0</v>
      </c>
      <c r="V486" s="60">
        <f t="shared" si="804"/>
        <v>0</v>
      </c>
      <c r="W486" s="60">
        <f t="shared" si="804"/>
        <v>0</v>
      </c>
      <c r="X486" s="60">
        <f t="shared" si="804"/>
        <v>0</v>
      </c>
      <c r="Y486" s="60">
        <f t="shared" si="805"/>
        <v>0</v>
      </c>
      <c r="Z486" s="60">
        <f t="shared" si="806"/>
        <v>0</v>
      </c>
      <c r="AA486" s="60">
        <f t="shared" si="807"/>
        <v>0</v>
      </c>
      <c r="AB486" s="60">
        <f t="shared" si="808"/>
        <v>0</v>
      </c>
      <c r="AC486" s="60">
        <f t="shared" si="808"/>
        <v>0</v>
      </c>
      <c r="AD486" s="60">
        <f t="shared" si="808"/>
        <v>0</v>
      </c>
    </row>
    <row r="487" spans="1:30" x14ac:dyDescent="0.25">
      <c r="A487" s="220" t="str">
        <f>CONCATENATE("FTE for ",O485," Months")</f>
        <v>FTE for 12 Months</v>
      </c>
      <c r="B487" s="393">
        <f t="shared" ref="B487:L487" si="809">+B486/$O485</f>
        <v>0</v>
      </c>
      <c r="C487" s="393">
        <f t="shared" si="809"/>
        <v>0</v>
      </c>
      <c r="D487" s="393">
        <f t="shared" si="809"/>
        <v>0</v>
      </c>
      <c r="E487" s="393">
        <f t="shared" si="809"/>
        <v>0</v>
      </c>
      <c r="F487" s="393">
        <f t="shared" si="809"/>
        <v>0</v>
      </c>
      <c r="G487" s="393">
        <f t="shared" si="809"/>
        <v>0</v>
      </c>
      <c r="H487" s="393">
        <f t="shared" si="809"/>
        <v>0</v>
      </c>
      <c r="I487" s="393">
        <f t="shared" si="809"/>
        <v>0</v>
      </c>
      <c r="J487" s="393">
        <f t="shared" si="809"/>
        <v>0</v>
      </c>
      <c r="K487" s="393">
        <f t="shared" si="809"/>
        <v>0</v>
      </c>
      <c r="L487" s="393">
        <f t="shared" si="809"/>
        <v>0</v>
      </c>
      <c r="M487" s="393">
        <f t="shared" ref="M487" si="810">+M486/$O485</f>
        <v>0</v>
      </c>
      <c r="N487" s="401"/>
      <c r="O487" s="89"/>
      <c r="P487" s="89"/>
      <c r="Q487" s="223"/>
      <c r="R487" s="115" t="str">
        <f>CONCATENATE("Number of Students ",IF(AND($AD$2&gt;=7,$AD$2&lt;=9),CONCATENATE("(Summer)"),IF(AND($AD$2&gt;=7,$AD$2&lt;=10),CONCATENATE("(Fall)"),IF(OR($AD$2&gt;=10,$AD$2&lt;=2),CONCATENATE("(Fall)"),IF(AND($AD$2&gt;=7,$AD$2&lt;=10),CONCATENATE("(Spring)"),IF(OR($AD$2&gt;=10,$AD$2&lt;=2),CONCATENATE("(Spring)"),IF(AND($AD$2&gt;=3,$AD$2&lt;=6),CONCATENATE("(Spring)"),"N/A")))))))</f>
        <v>Number of Students (Fall)</v>
      </c>
      <c r="S487" s="60">
        <f t="shared" si="804"/>
        <v>0</v>
      </c>
      <c r="T487" s="60">
        <f t="shared" si="804"/>
        <v>0</v>
      </c>
      <c r="U487" s="60">
        <f t="shared" si="804"/>
        <v>0</v>
      </c>
      <c r="V487" s="60">
        <f t="shared" si="804"/>
        <v>0</v>
      </c>
      <c r="W487" s="60">
        <f t="shared" si="804"/>
        <v>0</v>
      </c>
      <c r="X487" s="60">
        <f t="shared" si="804"/>
        <v>0</v>
      </c>
      <c r="Y487" s="60">
        <f t="shared" si="805"/>
        <v>0</v>
      </c>
      <c r="Z487" s="60">
        <f t="shared" si="806"/>
        <v>0</v>
      </c>
      <c r="AA487" s="60">
        <f t="shared" si="807"/>
        <v>0</v>
      </c>
      <c r="AB487" s="60">
        <f t="shared" si="808"/>
        <v>0</v>
      </c>
      <c r="AC487" s="60">
        <f t="shared" si="808"/>
        <v>0</v>
      </c>
      <c r="AD487" s="60">
        <f t="shared" si="808"/>
        <v>0</v>
      </c>
    </row>
    <row r="488" spans="1:30" x14ac:dyDescent="0.25">
      <c r="A488" s="220" t="s">
        <v>21</v>
      </c>
      <c r="B488" s="110">
        <f t="shared" ref="B488:K488" si="811">ROUND((B485*B487*$Q$41)+(C485*B487*$Q$42),0)</f>
        <v>0</v>
      </c>
      <c r="C488" s="110">
        <f t="shared" si="811"/>
        <v>0</v>
      </c>
      <c r="D488" s="110">
        <f t="shared" si="811"/>
        <v>0</v>
      </c>
      <c r="E488" s="110">
        <f t="shared" si="811"/>
        <v>0</v>
      </c>
      <c r="F488" s="110">
        <f t="shared" si="811"/>
        <v>0</v>
      </c>
      <c r="G488" s="110">
        <f t="shared" si="811"/>
        <v>0</v>
      </c>
      <c r="H488" s="110">
        <f t="shared" si="811"/>
        <v>0</v>
      </c>
      <c r="I488" s="110">
        <f t="shared" si="811"/>
        <v>0</v>
      </c>
      <c r="J488" s="110">
        <f t="shared" si="811"/>
        <v>0</v>
      </c>
      <c r="K488" s="110">
        <f t="shared" si="811"/>
        <v>0</v>
      </c>
      <c r="L488" s="110">
        <f>ROUND((L485*L487*$Q$41)+(N485*L487*$Q$42),0)</f>
        <v>0</v>
      </c>
      <c r="M488" s="110">
        <f>ROUND((M485*M487*$Q$41)+(O485*M487*$Q$42),0)</f>
        <v>0</v>
      </c>
      <c r="N488" s="402"/>
      <c r="O488" s="89"/>
      <c r="P488" s="89"/>
      <c r="Q488" s="223"/>
      <c r="R488" s="25"/>
      <c r="S488" s="33"/>
      <c r="T488" s="33"/>
      <c r="U488" s="33"/>
      <c r="V488" s="33"/>
      <c r="W488" s="33"/>
      <c r="X488" s="33"/>
      <c r="Y488" s="23"/>
    </row>
    <row r="489" spans="1:30" x14ac:dyDescent="0.25">
      <c r="A489" s="220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89"/>
      <c r="P489" s="89"/>
      <c r="Q489" s="223"/>
      <c r="R489" s="25"/>
      <c r="S489" s="33"/>
      <c r="T489" s="33"/>
      <c r="U489" s="33"/>
      <c r="V489" s="33"/>
      <c r="W489" s="33"/>
      <c r="X489" s="33"/>
      <c r="Y489" s="23"/>
    </row>
    <row r="490" spans="1:30" ht="15.75" thickBot="1" x14ac:dyDescent="0.3">
      <c r="A490" s="219" t="s">
        <v>70</v>
      </c>
      <c r="B490" s="24" t="s">
        <v>1</v>
      </c>
      <c r="C490" s="24" t="s">
        <v>2</v>
      </c>
      <c r="D490" s="24" t="s">
        <v>3</v>
      </c>
      <c r="E490" s="24" t="s">
        <v>39</v>
      </c>
      <c r="F490" s="24" t="s">
        <v>45</v>
      </c>
      <c r="G490" s="24" t="s">
        <v>183</v>
      </c>
      <c r="H490" s="24" t="s">
        <v>184</v>
      </c>
      <c r="I490" s="24" t="s">
        <v>185</v>
      </c>
      <c r="J490" s="24" t="s">
        <v>186</v>
      </c>
      <c r="K490" s="24" t="s">
        <v>187</v>
      </c>
      <c r="L490" s="24"/>
      <c r="M490" s="24"/>
      <c r="N490" s="23"/>
      <c r="O490" s="89"/>
      <c r="P490" s="89"/>
      <c r="Q490" s="223"/>
      <c r="R490" s="35" t="s">
        <v>105</v>
      </c>
      <c r="S490" s="50" t="s">
        <v>1</v>
      </c>
      <c r="T490" s="51" t="s">
        <v>2</v>
      </c>
      <c r="U490" s="51" t="s">
        <v>3</v>
      </c>
      <c r="V490" s="51" t="s">
        <v>39</v>
      </c>
      <c r="W490" s="51" t="s">
        <v>45</v>
      </c>
      <c r="X490" s="51" t="s">
        <v>183</v>
      </c>
      <c r="Y490" s="51" t="s">
        <v>184</v>
      </c>
      <c r="Z490" s="51" t="s">
        <v>185</v>
      </c>
      <c r="AA490" s="51" t="s">
        <v>186</v>
      </c>
      <c r="AB490" s="51" t="s">
        <v>187</v>
      </c>
    </row>
    <row r="491" spans="1:30" x14ac:dyDescent="0.25">
      <c r="A491" s="220" t="str">
        <f>+R485</f>
        <v>Number of Students (Spring)</v>
      </c>
      <c r="B491" s="314">
        <v>0</v>
      </c>
      <c r="C491" s="314">
        <v>0</v>
      </c>
      <c r="D491" s="314">
        <v>0</v>
      </c>
      <c r="E491" s="314">
        <v>0</v>
      </c>
      <c r="F491" s="314">
        <v>0</v>
      </c>
      <c r="G491" s="314">
        <v>0</v>
      </c>
      <c r="H491" s="314">
        <v>0</v>
      </c>
      <c r="I491" s="314">
        <v>0</v>
      </c>
      <c r="J491" s="314">
        <v>0</v>
      </c>
      <c r="K491" s="314">
        <v>0</v>
      </c>
      <c r="L491" s="315"/>
      <c r="M491" s="315"/>
      <c r="N491" s="23"/>
      <c r="O491" s="89"/>
      <c r="P491" s="89"/>
      <c r="Q491" s="223"/>
      <c r="R491" s="36" t="s">
        <v>22</v>
      </c>
      <c r="S491" s="37">
        <f>SUM(S501:S503)</f>
        <v>0</v>
      </c>
      <c r="T491" s="37">
        <f>SUM(T501:T503)</f>
        <v>0</v>
      </c>
      <c r="U491" s="37">
        <f>SUM(U501:U503)</f>
        <v>0</v>
      </c>
      <c r="V491" s="37">
        <f>SUM(V501:V503)</f>
        <v>0</v>
      </c>
      <c r="W491" s="37">
        <f t="shared" ref="W491:AB491" si="812">SUM(W501:W503)</f>
        <v>0</v>
      </c>
      <c r="X491" s="37">
        <f t="shared" si="812"/>
        <v>0</v>
      </c>
      <c r="Y491" s="37">
        <f t="shared" si="812"/>
        <v>0</v>
      </c>
      <c r="Z491" s="37">
        <f t="shared" si="812"/>
        <v>0</v>
      </c>
      <c r="AA491" s="37">
        <f t="shared" si="812"/>
        <v>0</v>
      </c>
      <c r="AB491" s="37">
        <f t="shared" si="812"/>
        <v>0</v>
      </c>
    </row>
    <row r="492" spans="1:30" x14ac:dyDescent="0.25">
      <c r="A492" s="220" t="str">
        <f>+R486</f>
        <v>Number of Students (Summer)</v>
      </c>
      <c r="B492" s="315">
        <f>+B491</f>
        <v>0</v>
      </c>
      <c r="C492" s="315">
        <f>+C491</f>
        <v>0</v>
      </c>
      <c r="D492" s="315">
        <f>+D491</f>
        <v>0</v>
      </c>
      <c r="E492" s="315">
        <f>+E491</f>
        <v>0</v>
      </c>
      <c r="F492" s="315">
        <f>+F491</f>
        <v>0</v>
      </c>
      <c r="G492" s="315">
        <f t="shared" ref="G492:K492" si="813">+G491</f>
        <v>0</v>
      </c>
      <c r="H492" s="315">
        <f t="shared" si="813"/>
        <v>0</v>
      </c>
      <c r="I492" s="315">
        <f t="shared" si="813"/>
        <v>0</v>
      </c>
      <c r="J492" s="315">
        <f t="shared" si="813"/>
        <v>0</v>
      </c>
      <c r="K492" s="315">
        <f t="shared" si="813"/>
        <v>0</v>
      </c>
      <c r="L492" s="315"/>
      <c r="M492" s="315"/>
      <c r="N492" s="23"/>
      <c r="O492" s="89"/>
      <c r="P492" s="89"/>
      <c r="Q492" s="223"/>
      <c r="R492" s="36" t="s">
        <v>8</v>
      </c>
      <c r="S492" s="37">
        <f>SUM(S504:S506)</f>
        <v>0</v>
      </c>
      <c r="T492" s="37">
        <f>SUM(T504:T506)</f>
        <v>0</v>
      </c>
      <c r="U492" s="37">
        <f>SUM(U504:U506)</f>
        <v>0</v>
      </c>
      <c r="V492" s="37">
        <f>SUM(V504:V506)</f>
        <v>0</v>
      </c>
      <c r="W492" s="37">
        <f t="shared" ref="W492:AB492" si="814">SUM(W504:W506)</f>
        <v>0</v>
      </c>
      <c r="X492" s="37">
        <f t="shared" si="814"/>
        <v>0</v>
      </c>
      <c r="Y492" s="37">
        <f t="shared" si="814"/>
        <v>0</v>
      </c>
      <c r="Z492" s="37">
        <f t="shared" si="814"/>
        <v>0</v>
      </c>
      <c r="AA492" s="37">
        <f t="shared" si="814"/>
        <v>0</v>
      </c>
      <c r="AB492" s="37">
        <f t="shared" si="814"/>
        <v>0</v>
      </c>
    </row>
    <row r="493" spans="1:30" x14ac:dyDescent="0.25">
      <c r="A493" s="220" t="str">
        <f>+R487</f>
        <v>Number of Students (Fall)</v>
      </c>
      <c r="B493" s="315">
        <f>+B491</f>
        <v>0</v>
      </c>
      <c r="C493" s="315">
        <f>+C491</f>
        <v>0</v>
      </c>
      <c r="D493" s="315">
        <f>+D491</f>
        <v>0</v>
      </c>
      <c r="E493" s="315">
        <f>+E491</f>
        <v>0</v>
      </c>
      <c r="F493" s="315">
        <f>+F491</f>
        <v>0</v>
      </c>
      <c r="G493" s="315">
        <f t="shared" ref="G493:K493" si="815">+G491</f>
        <v>0</v>
      </c>
      <c r="H493" s="315">
        <f t="shared" si="815"/>
        <v>0</v>
      </c>
      <c r="I493" s="315">
        <f t="shared" si="815"/>
        <v>0</v>
      </c>
      <c r="J493" s="315">
        <f t="shared" si="815"/>
        <v>0</v>
      </c>
      <c r="K493" s="315">
        <f t="shared" si="815"/>
        <v>0</v>
      </c>
      <c r="L493" s="315"/>
      <c r="M493" s="315"/>
      <c r="N493" s="23"/>
      <c r="O493" s="89"/>
      <c r="P493" s="89"/>
      <c r="Q493" s="223"/>
      <c r="R493" s="36" t="s">
        <v>9</v>
      </c>
      <c r="S493" s="37">
        <f>SUM(S507:S509)</f>
        <v>0</v>
      </c>
      <c r="T493" s="37">
        <f>SUM(T507:T509)</f>
        <v>0</v>
      </c>
      <c r="U493" s="37">
        <f>SUM(U507:U509)</f>
        <v>0</v>
      </c>
      <c r="V493" s="37">
        <f>SUM(V507:V509)</f>
        <v>0</v>
      </c>
      <c r="W493" s="37">
        <f t="shared" ref="W493:AB493" si="816">SUM(W507:W509)</f>
        <v>0</v>
      </c>
      <c r="X493" s="37">
        <f t="shared" si="816"/>
        <v>0</v>
      </c>
      <c r="Y493" s="37">
        <f t="shared" si="816"/>
        <v>0</v>
      </c>
      <c r="Z493" s="37">
        <f t="shared" si="816"/>
        <v>0</v>
      </c>
      <c r="AA493" s="37">
        <f t="shared" si="816"/>
        <v>0</v>
      </c>
      <c r="AB493" s="37">
        <f t="shared" si="816"/>
        <v>0</v>
      </c>
    </row>
    <row r="494" spans="1:30" ht="15.75" thickBot="1" x14ac:dyDescent="0.3">
      <c r="A494" s="220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23"/>
      <c r="O494" s="89"/>
      <c r="P494" s="89"/>
      <c r="Q494" s="223"/>
      <c r="R494" s="38" t="s">
        <v>31</v>
      </c>
      <c r="S494" s="39">
        <f>SUM(S491:S493)</f>
        <v>0</v>
      </c>
      <c r="T494" s="39">
        <f>SUM(T491:T493)</f>
        <v>0</v>
      </c>
      <c r="U494" s="39">
        <f>SUM(U491:U493)</f>
        <v>0</v>
      </c>
      <c r="V494" s="39">
        <f>SUM(V491:V493)</f>
        <v>0</v>
      </c>
      <c r="W494" s="39">
        <f t="shared" ref="W494" si="817">SUM(W491:W493)</f>
        <v>0</v>
      </c>
      <c r="X494" s="39">
        <f t="shared" ref="X494" si="818">SUM(X491:X493)</f>
        <v>0</v>
      </c>
      <c r="Y494" s="39">
        <f t="shared" ref="Y494" si="819">SUM(Y491:Y493)</f>
        <v>0</v>
      </c>
      <c r="Z494" s="39">
        <f t="shared" ref="Z494" si="820">SUM(Z491:Z493)</f>
        <v>0</v>
      </c>
      <c r="AA494" s="39">
        <f t="shared" ref="AA494" si="821">SUM(AA491:AA493)</f>
        <v>0</v>
      </c>
      <c r="AB494" s="39">
        <f t="shared" ref="AB494" si="822">SUM(AB491:AB493)</f>
        <v>0</v>
      </c>
    </row>
    <row r="495" spans="1:30" x14ac:dyDescent="0.25">
      <c r="A495" s="219" t="s">
        <v>73</v>
      </c>
      <c r="B495" s="24" t="s">
        <v>1</v>
      </c>
      <c r="C495" s="24" t="s">
        <v>2</v>
      </c>
      <c r="D495" s="24" t="s">
        <v>3</v>
      </c>
      <c r="E495" s="24" t="s">
        <v>39</v>
      </c>
      <c r="F495" s="24" t="s">
        <v>45</v>
      </c>
      <c r="G495" s="24" t="s">
        <v>183</v>
      </c>
      <c r="H495" s="24" t="s">
        <v>184</v>
      </c>
      <c r="I495" s="24" t="s">
        <v>185</v>
      </c>
      <c r="J495" s="24" t="s">
        <v>186</v>
      </c>
      <c r="K495" s="24" t="s">
        <v>187</v>
      </c>
      <c r="L495" s="24"/>
      <c r="M495" s="24"/>
      <c r="Q495" s="213"/>
      <c r="S495" s="116"/>
      <c r="Y495" s="23"/>
    </row>
    <row r="496" spans="1:30" x14ac:dyDescent="0.25">
      <c r="A496" s="220" t="s">
        <v>69</v>
      </c>
      <c r="B496" s="312">
        <f>Minimum_Undergraduate_rate</f>
        <v>15</v>
      </c>
      <c r="C496" s="312">
        <f>+B496</f>
        <v>15</v>
      </c>
      <c r="D496" s="312">
        <f t="shared" ref="D496" si="823">+C496</f>
        <v>15</v>
      </c>
      <c r="E496" s="312">
        <f t="shared" ref="E496" si="824">+D496</f>
        <v>15</v>
      </c>
      <c r="F496" s="312">
        <f t="shared" ref="F496" si="825">+E496</f>
        <v>15</v>
      </c>
      <c r="G496" s="312">
        <f t="shared" ref="G496" si="826">+F496</f>
        <v>15</v>
      </c>
      <c r="H496" s="312">
        <f t="shared" ref="H496" si="827">+G496</f>
        <v>15</v>
      </c>
      <c r="I496" s="312">
        <f t="shared" ref="I496" si="828">+H496</f>
        <v>15</v>
      </c>
      <c r="J496" s="312">
        <f t="shared" ref="J496" si="829">+I496</f>
        <v>15</v>
      </c>
      <c r="K496" s="312">
        <f t="shared" ref="K496" si="830">+J496</f>
        <v>15</v>
      </c>
      <c r="L496" s="400"/>
      <c r="M496" s="400"/>
      <c r="Q496" s="213"/>
      <c r="Y496" s="23"/>
    </row>
    <row r="497" spans="1:28" x14ac:dyDescent="0.25">
      <c r="A497" s="220" t="s">
        <v>60</v>
      </c>
      <c r="B497" s="316">
        <v>0</v>
      </c>
      <c r="C497" s="316">
        <v>0</v>
      </c>
      <c r="D497" s="316">
        <v>0</v>
      </c>
      <c r="E497" s="316">
        <v>0</v>
      </c>
      <c r="F497" s="316">
        <v>0</v>
      </c>
      <c r="G497" s="316">
        <v>0</v>
      </c>
      <c r="H497" s="316">
        <v>0</v>
      </c>
      <c r="I497" s="316">
        <v>0</v>
      </c>
      <c r="J497" s="316">
        <v>0</v>
      </c>
      <c r="K497" s="316">
        <v>0</v>
      </c>
      <c r="L497" s="403"/>
      <c r="M497" s="403"/>
      <c r="Q497" s="213"/>
      <c r="R497" s="117"/>
      <c r="S497" s="53" t="str">
        <f>CONCATENATE("FY",$AD$3)</f>
        <v>FY2025</v>
      </c>
      <c r="T497" s="53" t="str">
        <f>CONCATENATE("FY",$AD$3+1)</f>
        <v>FY2026</v>
      </c>
      <c r="U497" s="53" t="str">
        <f>CONCATENATE("FY",$AD$3+2)</f>
        <v>FY2027</v>
      </c>
      <c r="V497" s="53" t="str">
        <f>CONCATENATE("FY",$AD$3+3)</f>
        <v>FY2028</v>
      </c>
      <c r="W497" s="53" t="str">
        <f>CONCATENATE("FY",$AD$3+4)</f>
        <v>FY2029</v>
      </c>
      <c r="X497" s="53" t="str">
        <f>CONCATENATE("FY",$AD$3+5)</f>
        <v>FY2030</v>
      </c>
      <c r="Y497" s="53" t="str">
        <f>CONCATENATE("FY",$AD$3+6)</f>
        <v>FY2031</v>
      </c>
      <c r="Z497" s="53" t="str">
        <f>CONCATENATE("FY",$AD$3+7)</f>
        <v>FY2032</v>
      </c>
      <c r="AA497" s="53" t="str">
        <f>CONCATENATE("FY",$AD$3+8)</f>
        <v>FY2033</v>
      </c>
      <c r="AB497" s="53" t="str">
        <f>CONCATENATE("FY",$AD$3+9)</f>
        <v>FY2034</v>
      </c>
    </row>
    <row r="498" spans="1:28" x14ac:dyDescent="0.25">
      <c r="A498" s="220" t="s">
        <v>61</v>
      </c>
      <c r="B498" s="316">
        <v>0</v>
      </c>
      <c r="C498" s="316">
        <v>0</v>
      </c>
      <c r="D498" s="316">
        <v>0</v>
      </c>
      <c r="E498" s="316">
        <v>0</v>
      </c>
      <c r="F498" s="316">
        <v>0</v>
      </c>
      <c r="G498" s="316">
        <v>0</v>
      </c>
      <c r="H498" s="316">
        <v>0</v>
      </c>
      <c r="I498" s="316">
        <v>0</v>
      </c>
      <c r="J498" s="316">
        <v>0</v>
      </c>
      <c r="K498" s="316">
        <v>0</v>
      </c>
      <c r="L498" s="403"/>
      <c r="M498" s="403"/>
      <c r="Q498" s="213"/>
      <c r="R498" s="118"/>
      <c r="S498" s="53" t="str">
        <f>IF(OR($AD$2&gt;=7,$AD$2&lt;=2),CONCATENATE("FY",$AD$3),IF(AND($AD$2&gt;=3,$AD$2&lt;=6),CONCATENATE("FY",$AD$3+1),"N/A"))</f>
        <v>FY2025</v>
      </c>
      <c r="T498" s="53" t="str">
        <f>IF(OR($AD$2&gt;=7,$AD$2&lt;=2),CONCATENATE("FY",$AD$3+1),IF(AND($AD$2&gt;=3,$AD$2&lt;=6),CONCATENATE("FY",$AD$3+2),"N/A"))</f>
        <v>FY2026</v>
      </c>
      <c r="U498" s="53" t="str">
        <f>IF(OR($AD$2&gt;=7,$AD$2&lt;=2),CONCATENATE("FY",$AD$3+2),IF(AND($AD$2&gt;=3,$AD$2&lt;=6),CONCATENATE("FY",$AD$3+3),"N/A"))</f>
        <v>FY2027</v>
      </c>
      <c r="V498" s="53" t="str">
        <f>IF(OR($AD$2&gt;=7,$AD$2&lt;=2),CONCATENATE("FY",$AD$3+3),IF(AND($AD$2&gt;=3,$AD$2&lt;=6),CONCATENATE("FY",$AD$3+4),"N/A"))</f>
        <v>FY2028</v>
      </c>
      <c r="W498" s="53" t="str">
        <f>IF(OR($AD$2&gt;=7,$AD$2&lt;=2),CONCATENATE("FY",$AD$3+4),IF(AND($AD$2&gt;=3,$AD$2&lt;=6),CONCATENATE("FY",$AD$3+5),"N/A"))</f>
        <v>FY2029</v>
      </c>
      <c r="X498" s="53" t="str">
        <f>IF(OR($AD$2&gt;=7,$AD$2&lt;=2),CONCATENATE("FY",$AD$3+5),IF(AND($AD$2&gt;=3,$AD$2&lt;=6),CONCATENATE("FY",$AD$3+6),"N/A"))</f>
        <v>FY2030</v>
      </c>
      <c r="Y498" s="53" t="str">
        <f>IF(OR($AD$2&gt;=7,$AD$2&lt;=2),CONCATENATE("FY",$AD$3+6),IF(AND($AD$2&gt;=3,$AD$2&lt;=6),CONCATENATE("FY",$AD$3+7),"N/A"))</f>
        <v>FY2031</v>
      </c>
      <c r="Z498" s="53" t="str">
        <f>IF(OR($AD$2&gt;=7,$AD$2&lt;=2),CONCATENATE("FY",$AD$3+7),IF(AND($AD$2&gt;=3,$AD$2&lt;=6),CONCATENATE("FY",$AD$3+8),"N/A"))</f>
        <v>FY2032</v>
      </c>
      <c r="AA498" s="53" t="str">
        <f>IF(OR($AD$2&gt;=7,$AD$2&lt;=2),CONCATENATE("FY",$AD$3+8),IF(AND($AD$2&gt;=3,$AD$2&lt;=6),CONCATENATE("FY",$AD$3+9),"N/A"))</f>
        <v>FY2033</v>
      </c>
      <c r="AB498" s="53" t="str">
        <f>IF(OR($AD$2&gt;=7,$AD$2&lt;=2),CONCATENATE("FY",$AD$3+9),IF(AND($AD$2&gt;=3,$AD$2&lt;=6),CONCATENATE("FY",$AD$3+10),"N/A"))</f>
        <v>FY2034</v>
      </c>
    </row>
    <row r="499" spans="1:28" x14ac:dyDescent="0.25">
      <c r="A499" s="220" t="s">
        <v>66</v>
      </c>
      <c r="B499" s="54">
        <f>ROUND(B496*(B497*B498),0)</f>
        <v>0</v>
      </c>
      <c r="C499" s="54">
        <f t="shared" ref="C499:F499" si="831">ROUND(C496*(C497*C498),0)</f>
        <v>0</v>
      </c>
      <c r="D499" s="54">
        <f t="shared" si="831"/>
        <v>0</v>
      </c>
      <c r="E499" s="54">
        <f t="shared" si="831"/>
        <v>0</v>
      </c>
      <c r="F499" s="54">
        <f t="shared" si="831"/>
        <v>0</v>
      </c>
      <c r="G499" s="54">
        <f t="shared" ref="G499:K499" si="832">ROUND(G496*(G497*G498),0)</f>
        <v>0</v>
      </c>
      <c r="H499" s="54">
        <f t="shared" si="832"/>
        <v>0</v>
      </c>
      <c r="I499" s="54">
        <f t="shared" si="832"/>
        <v>0</v>
      </c>
      <c r="J499" s="54">
        <f t="shared" si="832"/>
        <v>0</v>
      </c>
      <c r="K499" s="54">
        <f t="shared" si="832"/>
        <v>0</v>
      </c>
      <c r="L499" s="404"/>
      <c r="M499" s="404"/>
      <c r="Q499" s="213"/>
      <c r="R499" s="53"/>
      <c r="S499" s="53" t="str">
        <f>IF(AND($AD$2&gt;=1,$AD$2&lt;=6),CONCATENATE("FY",$AD$3+1),IF(AND($AD$2&gt;=7,$AD$2&lt;=9),CONCATENATE("FY",$AD$3),IF(AND($AD$2&gt;=10,$AD$2&lt;=126),CONCATENATE("FY",$AD$3+1),"N/A")))</f>
        <v>FY2026</v>
      </c>
      <c r="T499" s="53" t="str">
        <f>IF(AND($AD$2&gt;=1,$AD$2&lt;=6),CONCATENATE("FY",$AD$3+2),IF(AND($AD$2&gt;=7,$AD$2&lt;=9),CONCATENATE("FY",$AD$3+1),IF(AND($AD$2&gt;=10,$AD$2&lt;=126),CONCATENATE("FY",$AD$3+2),"N/A")))</f>
        <v>FY2027</v>
      </c>
      <c r="U499" s="53" t="str">
        <f>IF(AND($AD$2&gt;=1,$AD$2&lt;=6),CONCATENATE("FY",$AD$3+3),IF(AND($AD$2&gt;=7,$AD$2&lt;=9),CONCATENATE("FY",$AD$3+2),IF(AND($AD$2&gt;=10,$AD$2&lt;=126),CONCATENATE("FY",$AD$3+3),"N/A")))</f>
        <v>FY2028</v>
      </c>
      <c r="V499" s="53" t="str">
        <f>IF(AND($AD$2&gt;=1,$AD$2&lt;=6),CONCATENATE("FY",$AD$3+4),IF(AND($AD$2&gt;=7,$AD$2&lt;=9),CONCATENATE("FY",$AD$3+3),IF(AND($AD$2&gt;=10,$AD$2&lt;=126),CONCATENATE("FY",$AD$3+4),"N/A")))</f>
        <v>FY2029</v>
      </c>
      <c r="W499" s="53" t="str">
        <f>IF(AND($AD$2&gt;=1,$AD$2&lt;=6),CONCATENATE("FY",$AD$3+5),IF(AND($AD$2&gt;=7,$AD$2&lt;=9),CONCATENATE("FY",$AD$3+4),IF(AND($AD$2&gt;=10,$AD$2&lt;=126),CONCATENATE("FY",$AD$3+5),"N/A")))</f>
        <v>FY2030</v>
      </c>
      <c r="X499" s="53" t="str">
        <f>IF(AND($AD$2&gt;=1,$AD$2&lt;=6),CONCATENATE("FY",$AD$3+6),IF(AND($AD$2&gt;=7,$AD$2&lt;=9),CONCATENATE("FY",$AD$3+5),IF(AND($AD$2&gt;=10,$AD$2&lt;=126),CONCATENATE("FY",$AD$3+6),"N/A")))</f>
        <v>FY2031</v>
      </c>
      <c r="Y499" s="53" t="str">
        <f>IF(AND($AD$2&gt;=1,$AD$2&lt;=6),CONCATENATE("FY",$AD$3+6),IF(AND($AD$2&gt;=7,$AD$2&lt;=9),CONCATENATE("FY",$AD$3+6),IF(AND($AD$2&gt;=10,$AD$2&lt;=126),CONCATENATE("FY",$AD$3+7),"N/A")))</f>
        <v>FY2031</v>
      </c>
      <c r="Z499" s="53" t="str">
        <f>IF(AND($AD$2&gt;=1,$AD$2&lt;=6),CONCATENATE("FY",$AD$3+6),IF(AND($AD$2&gt;=7,$AD$2&lt;=9),CONCATENATE("FY",$AD$3+7),IF(AND($AD$2&gt;=10,$AD$2&lt;=126),CONCATENATE("FY",$AD$3+8),"N/A")))</f>
        <v>FY2031</v>
      </c>
      <c r="AA499" s="53" t="str">
        <f>IF(AND($AD$2&gt;=1,$AD$2&lt;=6),CONCATENATE("FY",$AD$3+6),IF(AND($AD$2&gt;=7,$AD$2&lt;=9),CONCATENATE("FY",$AD$3+8),IF(AND($AD$2&gt;=10,$AD$2&lt;=126),CONCATENATE("FY",$AD$3+9),"N/A")))</f>
        <v>FY2031</v>
      </c>
      <c r="AB499" s="53" t="str">
        <f>IF(AND($AD$2&gt;=1,$AD$2&lt;=6),CONCATENATE("FY",$AD$3+6),IF(AND($AD$2&gt;=7,$AD$2&lt;=9),CONCATENATE("FY",$AD$3+9),IF(AND($AD$2&gt;=10,$AD$2&lt;=126),CONCATENATE("FY",$AD$3+10),"N/A")))</f>
        <v>FY2031</v>
      </c>
    </row>
    <row r="500" spans="1:28" ht="15.75" thickBot="1" x14ac:dyDescent="0.3">
      <c r="A500" s="220" t="s">
        <v>58</v>
      </c>
      <c r="B500" s="316">
        <v>0</v>
      </c>
      <c r="C500" s="316">
        <v>0</v>
      </c>
      <c r="D500" s="316">
        <v>0</v>
      </c>
      <c r="E500" s="316">
        <v>0</v>
      </c>
      <c r="F500" s="316">
        <v>0</v>
      </c>
      <c r="G500" s="316">
        <v>0</v>
      </c>
      <c r="H500" s="316">
        <v>0</v>
      </c>
      <c r="I500" s="316">
        <v>0</v>
      </c>
      <c r="J500" s="316">
        <v>0</v>
      </c>
      <c r="K500" s="316">
        <v>0</v>
      </c>
      <c r="L500" s="403"/>
      <c r="M500" s="403"/>
      <c r="Q500" s="213"/>
      <c r="R500" s="35" t="s">
        <v>106</v>
      </c>
      <c r="S500" s="50" t="s">
        <v>1</v>
      </c>
      <c r="T500" s="51" t="s">
        <v>2</v>
      </c>
      <c r="U500" s="51" t="s">
        <v>3</v>
      </c>
      <c r="V500" s="51" t="s">
        <v>39</v>
      </c>
      <c r="W500" s="51" t="s">
        <v>45</v>
      </c>
      <c r="X500" s="51" t="s">
        <v>183</v>
      </c>
      <c r="Y500" s="51" t="s">
        <v>184</v>
      </c>
      <c r="Z500" s="51" t="s">
        <v>185</v>
      </c>
      <c r="AA500" s="51" t="s">
        <v>186</v>
      </c>
      <c r="AB500" s="51" t="s">
        <v>187</v>
      </c>
    </row>
    <row r="501" spans="1:28" x14ac:dyDescent="0.25">
      <c r="A501" s="220" t="s">
        <v>59</v>
      </c>
      <c r="B501" s="316">
        <v>0</v>
      </c>
      <c r="C501" s="316">
        <v>0</v>
      </c>
      <c r="D501" s="316">
        <v>0</v>
      </c>
      <c r="E501" s="316">
        <v>0</v>
      </c>
      <c r="F501" s="316">
        <v>0</v>
      </c>
      <c r="G501" s="316">
        <v>0</v>
      </c>
      <c r="H501" s="316">
        <v>0</v>
      </c>
      <c r="I501" s="316">
        <v>0</v>
      </c>
      <c r="J501" s="316">
        <v>0</v>
      </c>
      <c r="K501" s="316">
        <v>0</v>
      </c>
      <c r="L501" s="403"/>
      <c r="M501" s="403"/>
      <c r="Q501" s="213"/>
      <c r="R501" s="119" t="str">
        <f t="shared" ref="R501:R509" si="833">+R96</f>
        <v>Stipend (Spring)</v>
      </c>
      <c r="S501" s="120">
        <f t="shared" ref="S501:AB501" si="834">IF(RIGHT($R501,8)="(Summer)",ROUND(S485*HLOOKUP(S497,CoPI_5_GRARateTbl,3,FALSE),0))+IF(RIGHT($R501,8)&lt;&gt;"(Summer)",ROUND(S485*HLOOKUP(S497,CoPI_5_GRARateTbl,2,FALSE)/2,0))</f>
        <v>0</v>
      </c>
      <c r="T501" s="120">
        <f t="shared" si="834"/>
        <v>0</v>
      </c>
      <c r="U501" s="120">
        <f t="shared" si="834"/>
        <v>0</v>
      </c>
      <c r="V501" s="120">
        <f t="shared" si="834"/>
        <v>0</v>
      </c>
      <c r="W501" s="120">
        <f t="shared" si="834"/>
        <v>0</v>
      </c>
      <c r="X501" s="120">
        <f t="shared" si="834"/>
        <v>0</v>
      </c>
      <c r="Y501" s="120">
        <f t="shared" si="834"/>
        <v>0</v>
      </c>
      <c r="Z501" s="120">
        <f t="shared" si="834"/>
        <v>0</v>
      </c>
      <c r="AA501" s="120">
        <f t="shared" si="834"/>
        <v>0</v>
      </c>
      <c r="AB501" s="120">
        <f t="shared" si="834"/>
        <v>0</v>
      </c>
    </row>
    <row r="502" spans="1:28" x14ac:dyDescent="0.25">
      <c r="A502" s="220" t="s">
        <v>67</v>
      </c>
      <c r="B502" s="54">
        <f>ROUND(B496*(B500*B501),0)</f>
        <v>0</v>
      </c>
      <c r="C502" s="54">
        <f>ROUND(C496*(C500*C501),0)</f>
        <v>0</v>
      </c>
      <c r="D502" s="54">
        <f>ROUND(D496*(D500*D501),0)</f>
        <v>0</v>
      </c>
      <c r="E502" s="54">
        <f>ROUND(E496*(E500*E501),0)</f>
        <v>0</v>
      </c>
      <c r="F502" s="54">
        <f>ROUND(F496*(F500*F501),0)</f>
        <v>0</v>
      </c>
      <c r="G502" s="54">
        <f t="shared" ref="G502:K502" si="835">ROUND(G496*(G500*G501),0)</f>
        <v>0</v>
      </c>
      <c r="H502" s="54">
        <f t="shared" si="835"/>
        <v>0</v>
      </c>
      <c r="I502" s="54">
        <f t="shared" si="835"/>
        <v>0</v>
      </c>
      <c r="J502" s="54">
        <f t="shared" si="835"/>
        <v>0</v>
      </c>
      <c r="K502" s="54">
        <f t="shared" si="835"/>
        <v>0</v>
      </c>
      <c r="L502" s="404"/>
      <c r="M502" s="404"/>
      <c r="Q502" s="213"/>
      <c r="R502" s="121" t="str">
        <f t="shared" si="833"/>
        <v>Stipend (Summer)</v>
      </c>
      <c r="S502" s="120">
        <f t="shared" ref="S502:AB502" si="836">IF(RIGHT($R502,8)="(Summer)",ROUND(S486*HLOOKUP(S498,CoPI_5_GRARateTbl,3,FALSE),0))+IF(RIGHT($R502,8)&lt;&gt;"(Summer)",ROUND(S486*HLOOKUP(S498,CoPI_5_GRARateTbl,2,FALSE)/2,0))</f>
        <v>0</v>
      </c>
      <c r="T502" s="120">
        <f t="shared" si="836"/>
        <v>0</v>
      </c>
      <c r="U502" s="120">
        <f t="shared" si="836"/>
        <v>0</v>
      </c>
      <c r="V502" s="120">
        <f t="shared" si="836"/>
        <v>0</v>
      </c>
      <c r="W502" s="120">
        <f t="shared" si="836"/>
        <v>0</v>
      </c>
      <c r="X502" s="120">
        <f t="shared" si="836"/>
        <v>0</v>
      </c>
      <c r="Y502" s="120">
        <f t="shared" si="836"/>
        <v>0</v>
      </c>
      <c r="Z502" s="120">
        <f t="shared" si="836"/>
        <v>0</v>
      </c>
      <c r="AA502" s="120">
        <f t="shared" si="836"/>
        <v>0</v>
      </c>
      <c r="AB502" s="120">
        <f t="shared" si="836"/>
        <v>0</v>
      </c>
    </row>
    <row r="503" spans="1:28" x14ac:dyDescent="0.25">
      <c r="A503" s="220" t="s">
        <v>21</v>
      </c>
      <c r="B503" s="110">
        <f>+B499+B502</f>
        <v>0</v>
      </c>
      <c r="C503" s="110">
        <f>+C499+C502</f>
        <v>0</v>
      </c>
      <c r="D503" s="110">
        <f>+D499+D502</f>
        <v>0</v>
      </c>
      <c r="E503" s="110">
        <f>+E499+E502</f>
        <v>0</v>
      </c>
      <c r="F503" s="110">
        <f>+F499+F502</f>
        <v>0</v>
      </c>
      <c r="G503" s="110">
        <f t="shared" ref="G503:K503" si="837">+G499+G502</f>
        <v>0</v>
      </c>
      <c r="H503" s="110">
        <f t="shared" si="837"/>
        <v>0</v>
      </c>
      <c r="I503" s="110">
        <f t="shared" si="837"/>
        <v>0</v>
      </c>
      <c r="J503" s="110">
        <f t="shared" si="837"/>
        <v>0</v>
      </c>
      <c r="K503" s="110">
        <f t="shared" si="837"/>
        <v>0</v>
      </c>
      <c r="L503" s="402"/>
      <c r="M503" s="402"/>
      <c r="Q503" s="213"/>
      <c r="R503" s="121" t="str">
        <f t="shared" si="833"/>
        <v>Stipend (Fall)</v>
      </c>
      <c r="S503" s="120">
        <f t="shared" ref="S503:AB503" si="838">IF(RIGHT($R503,8)="(Summer)",ROUND(S487*HLOOKUP(S499,CoPI_5_GRARateTbl,3,FALSE),0))+IF(RIGHT($R503,8)&lt;&gt;"(Summer)",ROUND(S487*HLOOKUP(S499,CoPI_5_GRARateTbl,2,FALSE)/2,0))</f>
        <v>0</v>
      </c>
      <c r="T503" s="120">
        <f t="shared" si="838"/>
        <v>0</v>
      </c>
      <c r="U503" s="120">
        <f t="shared" si="838"/>
        <v>0</v>
      </c>
      <c r="V503" s="120">
        <f t="shared" si="838"/>
        <v>0</v>
      </c>
      <c r="W503" s="120">
        <f t="shared" si="838"/>
        <v>0</v>
      </c>
      <c r="X503" s="120">
        <f t="shared" si="838"/>
        <v>0</v>
      </c>
      <c r="Y503" s="120">
        <f t="shared" si="838"/>
        <v>0</v>
      </c>
      <c r="Z503" s="120">
        <f t="shared" si="838"/>
        <v>0</v>
      </c>
      <c r="AA503" s="120">
        <f t="shared" si="838"/>
        <v>0</v>
      </c>
      <c r="AB503" s="120">
        <f t="shared" si="838"/>
        <v>0</v>
      </c>
    </row>
    <row r="504" spans="1:28" x14ac:dyDescent="0.25">
      <c r="A504" s="213"/>
      <c r="I504" s="23"/>
      <c r="J504" s="23"/>
      <c r="K504" s="23"/>
      <c r="L504" s="23"/>
      <c r="M504" s="23"/>
      <c r="N504" s="23"/>
      <c r="Q504" s="213"/>
      <c r="R504" s="121" t="str">
        <f t="shared" si="833"/>
        <v>Tuition (Spring)</v>
      </c>
      <c r="S504" s="120">
        <f t="shared" ref="S504:AB504" si="839">IF(RIGHT($R504,8)="(Summer)",0,ROUND(S485*HLOOKUP(S497,CoPI_5_GRARateTbl,5,FALSE)/2,0))</f>
        <v>0</v>
      </c>
      <c r="T504" s="120">
        <f t="shared" si="839"/>
        <v>0</v>
      </c>
      <c r="U504" s="120">
        <f t="shared" si="839"/>
        <v>0</v>
      </c>
      <c r="V504" s="120">
        <f t="shared" si="839"/>
        <v>0</v>
      </c>
      <c r="W504" s="120">
        <f t="shared" si="839"/>
        <v>0</v>
      </c>
      <c r="X504" s="120">
        <f t="shared" si="839"/>
        <v>0</v>
      </c>
      <c r="Y504" s="120">
        <f t="shared" si="839"/>
        <v>0</v>
      </c>
      <c r="Z504" s="120">
        <f t="shared" si="839"/>
        <v>0</v>
      </c>
      <c r="AA504" s="120">
        <f t="shared" si="839"/>
        <v>0</v>
      </c>
      <c r="AB504" s="120">
        <f t="shared" si="839"/>
        <v>0</v>
      </c>
    </row>
    <row r="505" spans="1:28" x14ac:dyDescent="0.25">
      <c r="A505" s="222" t="s">
        <v>88</v>
      </c>
      <c r="B505" s="104" t="str">
        <f t="shared" ref="B505:L505" si="840">IF(AND(B506=$AE$5,$O507=9),$AE$3,IF(AND(B506=$AF$5,$O507=9),$AF$3,IF(AND(B506=$AG$5,$O507=9),$AG$3,IF(AND(B506=$AH$5,$O507=9),$AH$3,IF(AND(B506=$AI$5,$O507=9),$AI$3,IF(AND(B506=$AJ$5,$O507=9),$AJ$3,IF(AND(B506=$AK$5,$O507=9),$AK$3,IF(AND(B506=$AL$5,$O507=9),$AL$3,IF(AND(B506=$AM$5,$O507=9),$AM$3,IF(AND(B506=$AN$5,$O507=9),$AN$3,IF(AND(B506=$AO$5,$O507=9),$AO$3,IF(AND(B506=$AP$5,$O507=9),$AJ$3,IF(AND(B506=$AE$4,$O507=12),$AE$3,IF(AND(B506=$AF$4,$O507=12),$AF$3,IF(AND(B506=$AG$4,$O507=12),$AG$3,IF(AND(B506=$AH$4,$O507=12),$AH$3,IF(AND(B506=$AI$4,$O507=12),$AI$3,IF(AND(B506=$AJ$4,$O507=12),$AJ$3,IF(AND(B506=$AK$4,$O507=12),$AK$3,IF(AND(B506=$AL$4,$O507=12),$AL$3,IF(AND(B506=$AM$4,$O507=12),$AM$3,IF(AND(B506=$AN$4,$O507=12),$AN$3,IF(AND(B506=$AO$4,$O507=12),$AO$3,IF(AND(B506=$AP$4,$O507=12),$AJ$3," "))))))))))))))))))))))))</f>
        <v>Year 1</v>
      </c>
      <c r="C505" s="104" t="str">
        <f t="shared" si="840"/>
        <v>Year 2</v>
      </c>
      <c r="D505" s="104" t="str">
        <f t="shared" si="840"/>
        <v>Year 3</v>
      </c>
      <c r="E505" s="104" t="str">
        <f t="shared" si="840"/>
        <v>Year 4</v>
      </c>
      <c r="F505" s="104" t="str">
        <f t="shared" si="840"/>
        <v>Year 5</v>
      </c>
      <c r="G505" s="104" t="str">
        <f t="shared" si="840"/>
        <v>Year 6</v>
      </c>
      <c r="H505" s="104" t="str">
        <f t="shared" si="840"/>
        <v>Year 7</v>
      </c>
      <c r="I505" s="104" t="str">
        <f t="shared" si="840"/>
        <v>Year 8</v>
      </c>
      <c r="J505" s="104" t="str">
        <f t="shared" si="840"/>
        <v>Year 9</v>
      </c>
      <c r="K505" s="104" t="str">
        <f t="shared" si="840"/>
        <v>Year 10</v>
      </c>
      <c r="L505" s="104" t="str">
        <f t="shared" si="840"/>
        <v>Year 11</v>
      </c>
      <c r="M505" s="104" t="str">
        <f t="shared" ref="M505" si="841">IF(AND(M506=$AE$5,$O507=9),$AE$3,IF(AND(M506=$AF$5,$O507=9),$AF$3,IF(AND(M506=$AG$5,$O507=9),$AG$3,IF(AND(M506=$AH$5,$O507=9),$AH$3,IF(AND(M506=$AI$5,$O507=9),$AI$3,IF(AND(M506=$AJ$5,$O507=9),$AJ$3,IF(AND(M506=$AK$5,$O507=9),$AK$3,IF(AND(M506=$AL$5,$O507=9),$AL$3,IF(AND(M506=$AM$5,$O507=9),$AM$3,IF(AND(M506=$AN$5,$O507=9),$AN$3,IF(AND(M506=$AO$5,$O507=9),$AO$3,IF(AND(M506=$AP$5,$O507=9),$AJ$3,IF(AND(M506=$AE$4,$O507=12),$AE$3,IF(AND(M506=$AF$4,$O507=12),$AF$3,IF(AND(M506=$AG$4,$O507=12),$AG$3,IF(AND(M506=$AH$4,$O507=12),$AH$3,IF(AND(M506=$AI$4,$O507=12),$AI$3,IF(AND(M506=$AJ$4,$O507=12),$AJ$3,IF(AND(M506=$AK$4,$O507=12),$AK$3,IF(AND(M506=$AL$4,$O507=12),$AL$3,IF(AND(M506=$AM$4,$O507=12),$AM$3,IF(AND(M506=$AN$4,$O507=12),$AN$3,IF(AND(M506=$AO$4,$O507=12),$AO$3,IF(AND(M506=$AP$4,$O507=12),$AJ$3," "))))))))))))))))))))))))</f>
        <v>Year 6</v>
      </c>
      <c r="N505" s="104"/>
      <c r="Q505" s="213"/>
      <c r="R505" s="121" t="str">
        <f t="shared" si="833"/>
        <v>Tuition (Summer)</v>
      </c>
      <c r="S505" s="120">
        <f t="shared" ref="S505:AB505" si="842">IF(RIGHT($R505,8)="(Summer)",0,ROUND(S486*HLOOKUP(S498,CoPI_5_GRARateTbl,5,FALSE)/2,0))</f>
        <v>0</v>
      </c>
      <c r="T505" s="120">
        <f t="shared" si="842"/>
        <v>0</v>
      </c>
      <c r="U505" s="120">
        <f t="shared" si="842"/>
        <v>0</v>
      </c>
      <c r="V505" s="120">
        <f t="shared" si="842"/>
        <v>0</v>
      </c>
      <c r="W505" s="120">
        <f t="shared" si="842"/>
        <v>0</v>
      </c>
      <c r="X505" s="120">
        <f t="shared" si="842"/>
        <v>0</v>
      </c>
      <c r="Y505" s="120">
        <f t="shared" si="842"/>
        <v>0</v>
      </c>
      <c r="Z505" s="120">
        <f t="shared" si="842"/>
        <v>0</v>
      </c>
      <c r="AA505" s="120">
        <f t="shared" si="842"/>
        <v>0</v>
      </c>
      <c r="AB505" s="120">
        <f t="shared" si="842"/>
        <v>0</v>
      </c>
    </row>
    <row r="506" spans="1:28" x14ac:dyDescent="0.25">
      <c r="A506" s="219" t="s">
        <v>29</v>
      </c>
      <c r="B506" s="55" t="str">
        <f t="shared" ref="B506:I506" si="843">+N$2</f>
        <v>FY2025</v>
      </c>
      <c r="C506" s="55" t="str">
        <f t="shared" si="843"/>
        <v>FY2026</v>
      </c>
      <c r="D506" s="55" t="str">
        <f t="shared" si="843"/>
        <v>FY2027</v>
      </c>
      <c r="E506" s="55" t="str">
        <f t="shared" si="843"/>
        <v>FY2028</v>
      </c>
      <c r="F506" s="55" t="str">
        <f t="shared" si="843"/>
        <v>FY2029</v>
      </c>
      <c r="G506" s="55" t="str">
        <f t="shared" si="843"/>
        <v>FY2030</v>
      </c>
      <c r="H506" s="55" t="str">
        <f t="shared" si="843"/>
        <v>FY2031</v>
      </c>
      <c r="I506" s="55" t="str">
        <f t="shared" si="843"/>
        <v>FY2032</v>
      </c>
      <c r="J506" s="55" t="str">
        <f t="shared" ref="J506" si="844">+V$2</f>
        <v>FY2033</v>
      </c>
      <c r="K506" s="55" t="str">
        <f t="shared" ref="K506:M506" si="845">+W$2</f>
        <v>FY2034</v>
      </c>
      <c r="L506" s="55" t="str">
        <f t="shared" si="845"/>
        <v>FY2035</v>
      </c>
      <c r="M506" s="55" t="str">
        <f t="shared" si="845"/>
        <v>FY2036</v>
      </c>
      <c r="N506" s="55"/>
      <c r="O506" s="32" t="s">
        <v>20</v>
      </c>
      <c r="P506" s="89"/>
      <c r="Q506" s="223"/>
      <c r="R506" s="121" t="str">
        <f t="shared" si="833"/>
        <v>Tuition (Fall)</v>
      </c>
      <c r="S506" s="120">
        <f t="shared" ref="S506:AB506" si="846">IF(RIGHT($R506,8)="(Summer)",0,ROUND(S487*HLOOKUP(S499,CoPI_5_GRARateTbl,5,FALSE)/2,0))</f>
        <v>0</v>
      </c>
      <c r="T506" s="120">
        <f t="shared" si="846"/>
        <v>0</v>
      </c>
      <c r="U506" s="120">
        <f t="shared" si="846"/>
        <v>0</v>
      </c>
      <c r="V506" s="120">
        <f t="shared" si="846"/>
        <v>0</v>
      </c>
      <c r="W506" s="120">
        <f t="shared" si="846"/>
        <v>0</v>
      </c>
      <c r="X506" s="120">
        <f t="shared" si="846"/>
        <v>0</v>
      </c>
      <c r="Y506" s="120">
        <f t="shared" si="846"/>
        <v>0</v>
      </c>
      <c r="Z506" s="120">
        <f t="shared" si="846"/>
        <v>0</v>
      </c>
      <c r="AA506" s="120">
        <f t="shared" si="846"/>
        <v>0</v>
      </c>
      <c r="AB506" s="120">
        <f t="shared" si="846"/>
        <v>0</v>
      </c>
    </row>
    <row r="507" spans="1:28" x14ac:dyDescent="0.25">
      <c r="A507" s="220" t="str">
        <f>CONCATENATE("Base Salary: ",O507," month term")</f>
        <v>Base Salary: 12 month term</v>
      </c>
      <c r="B507" s="441"/>
      <c r="C507" s="439">
        <f t="shared" ref="C507:M507" si="847">ROUND(+B507*(1+(HLOOKUP(C506,FringeAndIDCRates,11,FALSE))),0)</f>
        <v>0</v>
      </c>
      <c r="D507" s="439">
        <f t="shared" si="847"/>
        <v>0</v>
      </c>
      <c r="E507" s="439">
        <f t="shared" si="847"/>
        <v>0</v>
      </c>
      <c r="F507" s="439">
        <f t="shared" si="847"/>
        <v>0</v>
      </c>
      <c r="G507" s="439">
        <f t="shared" si="847"/>
        <v>0</v>
      </c>
      <c r="H507" s="439">
        <f t="shared" si="847"/>
        <v>0</v>
      </c>
      <c r="I507" s="439">
        <f t="shared" si="847"/>
        <v>0</v>
      </c>
      <c r="J507" s="439">
        <f t="shared" si="847"/>
        <v>0</v>
      </c>
      <c r="K507" s="439">
        <f t="shared" si="847"/>
        <v>0</v>
      </c>
      <c r="L507" s="439">
        <f t="shared" si="847"/>
        <v>0</v>
      </c>
      <c r="M507" s="439">
        <f t="shared" si="847"/>
        <v>0</v>
      </c>
      <c r="N507" s="109"/>
      <c r="O507" s="310">
        <v>12</v>
      </c>
      <c r="P507" s="311"/>
      <c r="Q507" s="225"/>
      <c r="R507" s="121" t="str">
        <f t="shared" si="833"/>
        <v>Health Insurance (Spring)</v>
      </c>
      <c r="S507" s="120">
        <f t="shared" ref="S507:AB507" si="848">IF(RIGHT($R507,8)="(Summer)",0,ROUND(S485*HLOOKUP(S497,CoPI_5_GRARateTbl,6,FALSE)/2,0))</f>
        <v>0</v>
      </c>
      <c r="T507" s="120">
        <f t="shared" si="848"/>
        <v>0</v>
      </c>
      <c r="U507" s="120">
        <f t="shared" si="848"/>
        <v>0</v>
      </c>
      <c r="V507" s="120">
        <f t="shared" si="848"/>
        <v>0</v>
      </c>
      <c r="W507" s="120">
        <f t="shared" si="848"/>
        <v>0</v>
      </c>
      <c r="X507" s="120">
        <f t="shared" si="848"/>
        <v>0</v>
      </c>
      <c r="Y507" s="120">
        <f t="shared" si="848"/>
        <v>0</v>
      </c>
      <c r="Z507" s="120">
        <f t="shared" si="848"/>
        <v>0</v>
      </c>
      <c r="AA507" s="120">
        <f t="shared" si="848"/>
        <v>0</v>
      </c>
      <c r="AB507" s="120">
        <f t="shared" si="848"/>
        <v>0</v>
      </c>
    </row>
    <row r="508" spans="1:28" x14ac:dyDescent="0.25">
      <c r="A508" s="220" t="s">
        <v>44</v>
      </c>
      <c r="B508" s="312">
        <v>0</v>
      </c>
      <c r="C508" s="312">
        <v>0</v>
      </c>
      <c r="D508" s="312">
        <v>0</v>
      </c>
      <c r="E508" s="312">
        <v>0</v>
      </c>
      <c r="F508" s="312">
        <v>0</v>
      </c>
      <c r="G508" s="312">
        <v>0</v>
      </c>
      <c r="H508" s="312">
        <v>0</v>
      </c>
      <c r="I508" s="312">
        <v>0</v>
      </c>
      <c r="J508" s="312">
        <v>0</v>
      </c>
      <c r="K508" s="312">
        <v>0</v>
      </c>
      <c r="L508" s="312">
        <v>0</v>
      </c>
      <c r="M508" s="312">
        <v>0</v>
      </c>
      <c r="N508" s="400"/>
      <c r="O508" s="25"/>
      <c r="P508" s="25"/>
      <c r="Q508" s="220"/>
      <c r="R508" s="121" t="str">
        <f t="shared" si="833"/>
        <v>Health Insurance (Summer)</v>
      </c>
      <c r="S508" s="120">
        <f t="shared" ref="S508:AB508" si="849">IF(RIGHT($R508,8)="(Summer)",0,ROUND(S486*HLOOKUP(S498,CoPI_5_GRARateTbl,6,FALSE)/2,0))</f>
        <v>0</v>
      </c>
      <c r="T508" s="120">
        <f t="shared" si="849"/>
        <v>0</v>
      </c>
      <c r="U508" s="120">
        <f t="shared" si="849"/>
        <v>0</v>
      </c>
      <c r="V508" s="120">
        <f t="shared" si="849"/>
        <v>0</v>
      </c>
      <c r="W508" s="120">
        <f t="shared" si="849"/>
        <v>0</v>
      </c>
      <c r="X508" s="120">
        <f t="shared" si="849"/>
        <v>0</v>
      </c>
      <c r="Y508" s="120">
        <f t="shared" si="849"/>
        <v>0</v>
      </c>
      <c r="Z508" s="120">
        <f t="shared" si="849"/>
        <v>0</v>
      </c>
      <c r="AA508" s="120">
        <f t="shared" si="849"/>
        <v>0</v>
      </c>
      <c r="AB508" s="120">
        <f t="shared" si="849"/>
        <v>0</v>
      </c>
    </row>
    <row r="509" spans="1:28" x14ac:dyDescent="0.25">
      <c r="A509" s="220" t="str">
        <f>CONCATENATE("FTE for ",O507," Months")</f>
        <v>FTE for 12 Months</v>
      </c>
      <c r="B509" s="393">
        <f t="shared" ref="B509:L509" si="850">+B508/$O507</f>
        <v>0</v>
      </c>
      <c r="C509" s="393">
        <f t="shared" si="850"/>
        <v>0</v>
      </c>
      <c r="D509" s="393">
        <f t="shared" si="850"/>
        <v>0</v>
      </c>
      <c r="E509" s="393">
        <f t="shared" si="850"/>
        <v>0</v>
      </c>
      <c r="F509" s="393">
        <f t="shared" si="850"/>
        <v>0</v>
      </c>
      <c r="G509" s="393">
        <f t="shared" si="850"/>
        <v>0</v>
      </c>
      <c r="H509" s="393">
        <f t="shared" si="850"/>
        <v>0</v>
      </c>
      <c r="I509" s="393">
        <f t="shared" si="850"/>
        <v>0</v>
      </c>
      <c r="J509" s="393">
        <f t="shared" si="850"/>
        <v>0</v>
      </c>
      <c r="K509" s="393">
        <f t="shared" si="850"/>
        <v>0</v>
      </c>
      <c r="L509" s="393">
        <f t="shared" si="850"/>
        <v>0</v>
      </c>
      <c r="M509" s="393">
        <f t="shared" ref="M509" si="851">+M508/$O507</f>
        <v>0</v>
      </c>
      <c r="N509" s="401"/>
      <c r="O509" s="89"/>
      <c r="P509" s="89"/>
      <c r="Q509" s="223"/>
      <c r="R509" s="121" t="str">
        <f t="shared" si="833"/>
        <v>Health Insurance (Fall)</v>
      </c>
      <c r="S509" s="120">
        <f t="shared" ref="S509:AB509" si="852">IF(RIGHT($R509,8)="(Summer)",0,ROUND(S487*HLOOKUP(S499,CoPI_5_GRARateTbl,6,FALSE)/2,0))</f>
        <v>0</v>
      </c>
      <c r="T509" s="120">
        <f t="shared" si="852"/>
        <v>0</v>
      </c>
      <c r="U509" s="120">
        <f t="shared" si="852"/>
        <v>0</v>
      </c>
      <c r="V509" s="120">
        <f t="shared" si="852"/>
        <v>0</v>
      </c>
      <c r="W509" s="120">
        <f t="shared" si="852"/>
        <v>0</v>
      </c>
      <c r="X509" s="120">
        <f t="shared" si="852"/>
        <v>0</v>
      </c>
      <c r="Y509" s="120">
        <f t="shared" si="852"/>
        <v>0</v>
      </c>
      <c r="Z509" s="120">
        <f t="shared" si="852"/>
        <v>0</v>
      </c>
      <c r="AA509" s="120">
        <f t="shared" si="852"/>
        <v>0</v>
      </c>
      <c r="AB509" s="120">
        <f t="shared" si="852"/>
        <v>0</v>
      </c>
    </row>
    <row r="510" spans="1:28" ht="15.75" thickBot="1" x14ac:dyDescent="0.3">
      <c r="A510" s="220" t="s">
        <v>21</v>
      </c>
      <c r="B510" s="110">
        <f t="shared" ref="B510:K510" si="853">ROUND((B507*B509*$Q$41)+(C507*B509*$Q$42),0)</f>
        <v>0</v>
      </c>
      <c r="C510" s="110">
        <f t="shared" si="853"/>
        <v>0</v>
      </c>
      <c r="D510" s="110">
        <f t="shared" si="853"/>
        <v>0</v>
      </c>
      <c r="E510" s="110">
        <f t="shared" si="853"/>
        <v>0</v>
      </c>
      <c r="F510" s="110">
        <f t="shared" si="853"/>
        <v>0</v>
      </c>
      <c r="G510" s="110">
        <f t="shared" si="853"/>
        <v>0</v>
      </c>
      <c r="H510" s="110">
        <f t="shared" si="853"/>
        <v>0</v>
      </c>
      <c r="I510" s="110">
        <f t="shared" si="853"/>
        <v>0</v>
      </c>
      <c r="J510" s="110">
        <f t="shared" si="853"/>
        <v>0</v>
      </c>
      <c r="K510" s="110">
        <f t="shared" si="853"/>
        <v>0</v>
      </c>
      <c r="L510" s="110">
        <f>ROUND((L507*L509*$Q$41)+(N507*L509*$Q$42),0)</f>
        <v>0</v>
      </c>
      <c r="M510" s="110">
        <f>ROUND((M507*M509*$Q$41)+(O507*M509*$Q$42),0)</f>
        <v>0</v>
      </c>
      <c r="N510" s="402"/>
      <c r="O510" s="89"/>
      <c r="P510" s="89"/>
      <c r="Q510" s="223"/>
      <c r="R510" s="38" t="s">
        <v>31</v>
      </c>
      <c r="S510" s="39">
        <f>SUM(S501:S509)</f>
        <v>0</v>
      </c>
      <c r="T510" s="39">
        <f>SUM(T501:T509)</f>
        <v>0</v>
      </c>
      <c r="U510" s="39">
        <f>SUM(U501:U509)</f>
        <v>0</v>
      </c>
      <c r="V510" s="39">
        <f>SUM(V501:V509)</f>
        <v>0</v>
      </c>
      <c r="W510" s="39">
        <f t="shared" ref="W510" si="854">SUM(W501:W509)</f>
        <v>0</v>
      </c>
      <c r="X510" s="39">
        <f t="shared" ref="X510" si="855">SUM(X501:X509)</f>
        <v>0</v>
      </c>
      <c r="Y510" s="39">
        <f t="shared" ref="Y510" si="856">SUM(Y501:Y509)</f>
        <v>0</v>
      </c>
      <c r="Z510" s="39">
        <f t="shared" ref="Z510" si="857">SUM(Z501:Z509)</f>
        <v>0</v>
      </c>
      <c r="AA510" s="39">
        <f t="shared" ref="AA510" si="858">SUM(AA501:AA509)</f>
        <v>0</v>
      </c>
      <c r="AB510" s="39">
        <f t="shared" ref="AB510" si="859">SUM(AB501:AB509)</f>
        <v>0</v>
      </c>
    </row>
    <row r="511" spans="1:28" x14ac:dyDescent="0.25">
      <c r="Q511" s="223"/>
      <c r="R511" s="229"/>
      <c r="S511" s="229"/>
      <c r="T511" s="229"/>
      <c r="U511" s="229"/>
      <c r="V511" s="229"/>
      <c r="W511" s="229"/>
      <c r="X511" s="229"/>
      <c r="Y511" s="229"/>
      <c r="Z511" s="229"/>
      <c r="AA511" s="229"/>
      <c r="AB511" s="229"/>
    </row>
  </sheetData>
  <conditionalFormatting sqref="B47:N47">
    <cfRule type="notContainsBlanks" dxfId="64" priority="52">
      <formula>LEN(TRIM(B47))&gt;0</formula>
    </cfRule>
  </conditionalFormatting>
  <conditionalFormatting sqref="B50:N50 B66:N66 B74:N74 B139:N139 B147:N147 B155:N155 B162:N162 B184:N184 B212:N212 B220:N220 B228:N228 B236:N236 B265:N265 B293:N293 B301:N301 B309:N309 B317:N317 B324:N324 B346:N346 B374:N374 B382:N382 B390:N390 B398:N398 B405:N405 B427:N427 B455:N455 B463:N463 B471:N471 B479:N479 B486:N486 B508:N508">
    <cfRule type="expression" dxfId="63" priority="305">
      <formula>LEFT(B47,4)="Year"</formula>
    </cfRule>
  </conditionalFormatting>
  <conditionalFormatting sqref="B55:N55">
    <cfRule type="notContainsBlanks" dxfId="62" priority="17">
      <formula>LEN(TRIM(B55))&gt;0</formula>
    </cfRule>
  </conditionalFormatting>
  <conditionalFormatting sqref="B58:N58">
    <cfRule type="expression" dxfId="61" priority="90">
      <formula>LEFT(B55,4)="Year"</formula>
    </cfRule>
  </conditionalFormatting>
  <conditionalFormatting sqref="B63:N63">
    <cfRule type="notContainsBlanks" dxfId="60" priority="16">
      <formula>LEN(TRIM(B63))&gt;0</formula>
    </cfRule>
  </conditionalFormatting>
  <conditionalFormatting sqref="B71:N71">
    <cfRule type="notContainsBlanks" dxfId="59" priority="49">
      <formula>LEN(TRIM(B71))&gt;0</formula>
    </cfRule>
  </conditionalFormatting>
  <conditionalFormatting sqref="B78:N78">
    <cfRule type="notContainsBlanks" dxfId="58" priority="48">
      <formula>LEN(TRIM(B78))&gt;0</formula>
    </cfRule>
  </conditionalFormatting>
  <conditionalFormatting sqref="B81:N81 B103:N103 B243:N243">
    <cfRule type="expression" dxfId="57" priority="233">
      <formula>LEFT(B78,4)="Year"</formula>
    </cfRule>
  </conditionalFormatting>
  <conditionalFormatting sqref="B100:N100">
    <cfRule type="notContainsBlanks" dxfId="56" priority="47">
      <formula>LEN(TRIM(B100))&gt;0</formula>
    </cfRule>
  </conditionalFormatting>
  <conditionalFormatting sqref="B128:N128">
    <cfRule type="notContainsBlanks" dxfId="55" priority="15">
      <formula>LEN(TRIM(B128))&gt;0</formula>
    </cfRule>
  </conditionalFormatting>
  <conditionalFormatting sqref="B131:N131">
    <cfRule type="expression" dxfId="54" priority="89">
      <formula>LEFT(B128,4)="Year"</formula>
    </cfRule>
  </conditionalFormatting>
  <conditionalFormatting sqref="B136:N136">
    <cfRule type="notContainsBlanks" dxfId="53" priority="14">
      <formula>LEN(TRIM(B136))&gt;0</formula>
    </cfRule>
  </conditionalFormatting>
  <conditionalFormatting sqref="B144:N144">
    <cfRule type="notContainsBlanks" dxfId="52" priority="13">
      <formula>LEN(TRIM(B144))&gt;0</formula>
    </cfRule>
  </conditionalFormatting>
  <conditionalFormatting sqref="B152:N152">
    <cfRule type="notContainsBlanks" dxfId="51" priority="43">
      <formula>LEN(TRIM(B152))&gt;0</formula>
    </cfRule>
  </conditionalFormatting>
  <conditionalFormatting sqref="B159:N159">
    <cfRule type="notContainsBlanks" dxfId="50" priority="42">
      <formula>LEN(TRIM(B159))&gt;0</formula>
    </cfRule>
  </conditionalFormatting>
  <conditionalFormatting sqref="B181:N181">
    <cfRule type="notContainsBlanks" dxfId="49" priority="41">
      <formula>LEN(TRIM(B181))&gt;0</formula>
    </cfRule>
  </conditionalFormatting>
  <conditionalFormatting sqref="B209:N209">
    <cfRule type="notContainsBlanks" dxfId="48" priority="12">
      <formula>LEN(TRIM(B209))&gt;0</formula>
    </cfRule>
  </conditionalFormatting>
  <conditionalFormatting sqref="B217:N217">
    <cfRule type="notContainsBlanks" dxfId="47" priority="11">
      <formula>LEN(TRIM(B217))&gt;0</formula>
    </cfRule>
  </conditionalFormatting>
  <conditionalFormatting sqref="B225:N225">
    <cfRule type="notContainsBlanks" dxfId="46" priority="10">
      <formula>LEN(TRIM(B225))&gt;0</formula>
    </cfRule>
  </conditionalFormatting>
  <conditionalFormatting sqref="B233:N233">
    <cfRule type="notContainsBlanks" dxfId="45" priority="37">
      <formula>LEN(TRIM(B233))&gt;0</formula>
    </cfRule>
  </conditionalFormatting>
  <conditionalFormatting sqref="B240:N240">
    <cfRule type="notContainsBlanks" dxfId="44" priority="36">
      <formula>LEN(TRIM(B240))&gt;0</formula>
    </cfRule>
  </conditionalFormatting>
  <conditionalFormatting sqref="B262:N262">
    <cfRule type="notContainsBlanks" dxfId="43" priority="35">
      <formula>LEN(TRIM(B262))&gt;0</formula>
    </cfRule>
  </conditionalFormatting>
  <conditionalFormatting sqref="B290:N290">
    <cfRule type="notContainsBlanks" dxfId="42" priority="9">
      <formula>LEN(TRIM(B290))&gt;0</formula>
    </cfRule>
  </conditionalFormatting>
  <conditionalFormatting sqref="B298:N298">
    <cfRule type="notContainsBlanks" dxfId="41" priority="8">
      <formula>LEN(TRIM(B298))&gt;0</formula>
    </cfRule>
  </conditionalFormatting>
  <conditionalFormatting sqref="B306:N306">
    <cfRule type="notContainsBlanks" dxfId="40" priority="7">
      <formula>LEN(TRIM(B306))&gt;0</formula>
    </cfRule>
  </conditionalFormatting>
  <conditionalFormatting sqref="B314:N314">
    <cfRule type="notContainsBlanks" dxfId="39" priority="31">
      <formula>LEN(TRIM(B314))&gt;0</formula>
    </cfRule>
  </conditionalFormatting>
  <conditionalFormatting sqref="B321:N321">
    <cfRule type="notContainsBlanks" dxfId="38" priority="30">
      <formula>LEN(TRIM(B321))&gt;0</formula>
    </cfRule>
  </conditionalFormatting>
  <conditionalFormatting sqref="B343:N343">
    <cfRule type="notContainsBlanks" dxfId="37" priority="29">
      <formula>LEN(TRIM(B343))&gt;0</formula>
    </cfRule>
  </conditionalFormatting>
  <conditionalFormatting sqref="B371:N371">
    <cfRule type="notContainsBlanks" dxfId="36" priority="6">
      <formula>LEN(TRIM(B371))&gt;0</formula>
    </cfRule>
  </conditionalFormatting>
  <conditionalFormatting sqref="B379:N379">
    <cfRule type="notContainsBlanks" dxfId="35" priority="5">
      <formula>LEN(TRIM(B379))&gt;0</formula>
    </cfRule>
  </conditionalFormatting>
  <conditionalFormatting sqref="B387:N387">
    <cfRule type="notContainsBlanks" dxfId="34" priority="4">
      <formula>LEN(TRIM(B387))&gt;0</formula>
    </cfRule>
  </conditionalFormatting>
  <conditionalFormatting sqref="B395:N395">
    <cfRule type="notContainsBlanks" dxfId="33" priority="58">
      <formula>LEN(TRIM(B395))&gt;0</formula>
    </cfRule>
  </conditionalFormatting>
  <conditionalFormatting sqref="B402:N402">
    <cfRule type="notContainsBlanks" dxfId="32" priority="25">
      <formula>LEN(TRIM(B402))&gt;0</formula>
    </cfRule>
  </conditionalFormatting>
  <conditionalFormatting sqref="B424:N424">
    <cfRule type="notContainsBlanks" dxfId="31" priority="24">
      <formula>LEN(TRIM(B424))&gt;0</formula>
    </cfRule>
  </conditionalFormatting>
  <conditionalFormatting sqref="B452:N452">
    <cfRule type="notContainsBlanks" dxfId="30" priority="3">
      <formula>LEN(TRIM(B452))&gt;0</formula>
    </cfRule>
  </conditionalFormatting>
  <conditionalFormatting sqref="B460:N460">
    <cfRule type="notContainsBlanks" dxfId="29" priority="2">
      <formula>LEN(TRIM(B460))&gt;0</formula>
    </cfRule>
  </conditionalFormatting>
  <conditionalFormatting sqref="B468:N468">
    <cfRule type="notContainsBlanks" dxfId="28" priority="1">
      <formula>LEN(TRIM(B468))&gt;0</formula>
    </cfRule>
  </conditionalFormatting>
  <conditionalFormatting sqref="B476:N476">
    <cfRule type="notContainsBlanks" dxfId="27" priority="20">
      <formula>LEN(TRIM(B476))&gt;0</formula>
    </cfRule>
  </conditionalFormatting>
  <conditionalFormatting sqref="B483:N483">
    <cfRule type="notContainsBlanks" dxfId="26" priority="19">
      <formula>LEN(TRIM(B483))&gt;0</formula>
    </cfRule>
  </conditionalFormatting>
  <conditionalFormatting sqref="B505:N505">
    <cfRule type="notContainsBlanks" dxfId="25" priority="18">
      <formula>LEN(TRIM(B505))&gt;0</formula>
    </cfRule>
  </conditionalFormatting>
  <dataValidations count="7">
    <dataValidation type="list" allowBlank="1" showInputMessage="1" showErrorMessage="1" sqref="B34:B35 B31 B115:B116 B112 B277:B278 B274 B439:B440 B355 B358:B359 B196:B197 B193 B436" xr:uid="{00000000-0002-0000-0000-000000000000}">
      <formula1>$AE$12:$AE$13</formula1>
    </dataValidation>
    <dataValidation type="list" allowBlank="1" showInputMessage="1" showErrorMessage="1" sqref="B8" xr:uid="{00000000-0002-0000-0000-000001000000}">
      <formula1>$AD$12:$AD$13</formula1>
    </dataValidation>
    <dataValidation type="list" allowBlank="1" showInputMessage="1" showErrorMessage="1" sqref="B6" xr:uid="{00000000-0002-0000-0000-000002000000}">
      <formula1>$AC$12:$AC$13</formula1>
    </dataValidation>
    <dataValidation type="list" allowBlank="1" showInputMessage="1" sqref="B9" xr:uid="{00000000-0002-0000-0000-000003000000}">
      <formula1>$AG$12:$AG$13</formula1>
    </dataValidation>
    <dataValidation type="list" allowBlank="1" showInputMessage="1" showErrorMessage="1" sqref="B7" xr:uid="{00000000-0002-0000-0000-000004000000}">
      <formula1>$AH$12:$AH$13</formula1>
    </dataValidation>
    <dataValidation type="list" allowBlank="1" showInputMessage="1" showErrorMessage="1" sqref="B32 B194 B275 B356 B437 B113" xr:uid="{00000000-0002-0000-0000-000005000000}">
      <formula1>$AJ$12:$AJ$13</formula1>
    </dataValidation>
    <dataValidation type="list" allowBlank="1" showInputMessage="1" sqref="B3" xr:uid="{00000000-0002-0000-0000-000006000000}">
      <formula1>$BD$2:$BD$8</formula1>
    </dataValidation>
  </dataValidations>
  <hyperlinks>
    <hyperlink ref="O1" r:id="rId1" xr:uid="{00000000-0004-0000-0000-000000000000}"/>
    <hyperlink ref="L17" r:id="rId2" display="(https://grants.nih.gov/grants/guide/notice-files/NOT-OD-23-076.html" xr:uid="{445781B1-E888-4E5A-9821-9E9C4DA6CE97}"/>
    <hyperlink ref="L20" r:id="rId3" xr:uid="{295C1556-9A4B-4D59-A813-C50F049F5EDD}"/>
    <hyperlink ref="T24" r:id="rId4" xr:uid="{287BE2CF-C0D9-4CD3-AA19-2C1CAC345BBE}"/>
    <hyperlink ref="L16" r:id="rId5" xr:uid="{57746ADD-DE3E-4821-BB1A-DE6B7B27B809}"/>
    <hyperlink ref="L3" r:id="rId6" xr:uid="{7E365097-F308-430F-BFB7-F1AE55106818}"/>
    <hyperlink ref="L5" r:id="rId7" xr:uid="{08671D94-5EEC-48B9-89D2-9BCBB97C9CF6}"/>
    <hyperlink ref="L11" r:id="rId8" xr:uid="{525FF6EC-5381-4E80-B822-F7286DF016CA}"/>
    <hyperlink ref="L19" r:id="rId9" xr:uid="{C99A74BB-CC70-4B78-B9BA-2E63593EDC59}"/>
    <hyperlink ref="L21" r:id="rId10" xr:uid="{E2E10BBA-5352-4B8B-8872-934E9841E331}"/>
    <hyperlink ref="L18" r:id="rId11" xr:uid="{DF697EEF-2CED-420C-B7D9-9A0165FFF7A4}"/>
    <hyperlink ref="L6" r:id="rId12" xr:uid="{03716D1E-41D1-491E-A15E-16B102EB7578}"/>
    <hyperlink ref="T23" r:id="rId13" xr:uid="{1CACEB3B-229F-429F-9915-EB28CDD1CA62}"/>
  </hyperlinks>
  <pageMargins left="0.7" right="0.7" top="0.75" bottom="0.75" header="0.3" footer="0.3"/>
  <pageSetup scale="66" fitToHeight="0" orientation="portrait" r:id="rId14"/>
  <drawing r:id="rId15"/>
  <legacyDrawing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T66"/>
  <sheetViews>
    <sheetView zoomScale="130" zoomScaleNormal="130" workbookViewId="0">
      <selection activeCell="E16" sqref="E16"/>
    </sheetView>
  </sheetViews>
  <sheetFormatPr defaultColWidth="9.140625" defaultRowHeight="11.25" x14ac:dyDescent="0.2"/>
  <cols>
    <col min="1" max="1" width="33.42578125" style="1" customWidth="1"/>
    <col min="2" max="11" width="8.42578125" style="1" customWidth="1"/>
    <col min="12" max="12" width="9.5703125" style="2" bestFit="1" customWidth="1"/>
    <col min="13" max="13" width="9.7109375" style="2" customWidth="1"/>
    <col min="14" max="14" width="18.5703125" style="2" bestFit="1" customWidth="1"/>
    <col min="15" max="15" width="6.85546875" style="2" bestFit="1" customWidth="1"/>
    <col min="16" max="16" width="9.85546875" style="2" customWidth="1"/>
    <col min="17" max="18" width="9.7109375" style="1" customWidth="1"/>
    <col min="19" max="16384" width="9.140625" style="1"/>
  </cols>
  <sheetData>
    <row r="1" spans="1:19" ht="12.75" x14ac:dyDescent="0.2">
      <c r="A1" s="67">
        <f>+'Lead Budget'!A1</f>
        <v>0</v>
      </c>
    </row>
    <row r="2" spans="1:19" ht="12.75" x14ac:dyDescent="0.2">
      <c r="A2" s="67" t="str">
        <f>+'Lead Budget'!A2</f>
        <v>NSF</v>
      </c>
    </row>
    <row r="3" spans="1:19" ht="12.75" customHeight="1" thickBot="1" x14ac:dyDescent="0.25"/>
    <row r="4" spans="1:19" x14ac:dyDescent="0.2">
      <c r="A4" s="68"/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242"/>
    </row>
    <row r="5" spans="1:19" ht="12" thickBot="1" x14ac:dyDescent="0.25">
      <c r="A5" s="68" t="str">
        <f ca="1">""&amp;MID('rates, dates, etc'!AR9,FIND("]",'rates, dates, etc'!AR9)+1,25)</f>
        <v>Consortium 2</v>
      </c>
      <c r="B5" s="243">
        <f>+'Lead Budget'!B5</f>
        <v>45658</v>
      </c>
      <c r="C5" s="243">
        <f>+'Lead Budget'!C5</f>
        <v>46023</v>
      </c>
      <c r="D5" s="243">
        <f>+'Lead Budget'!D5</f>
        <v>46388</v>
      </c>
      <c r="E5" s="243">
        <f>+'Lead Budget'!E5</f>
        <v>46753</v>
      </c>
      <c r="F5" s="243">
        <f>+'Lead Budget'!F5</f>
        <v>47119</v>
      </c>
      <c r="G5" s="243">
        <f>+'Lead Budget'!G5</f>
        <v>47484</v>
      </c>
      <c r="H5" s="243">
        <f>+'Lead Budget'!H5</f>
        <v>47849</v>
      </c>
      <c r="I5" s="243">
        <f>+'Lead Budget'!I5</f>
        <v>48214</v>
      </c>
      <c r="J5" s="243">
        <f>+'Lead Budget'!J5</f>
        <v>48580</v>
      </c>
      <c r="K5" s="243">
        <f>+'Lead Budget'!K5</f>
        <v>48945</v>
      </c>
      <c r="L5" s="244"/>
    </row>
    <row r="6" spans="1:19" ht="12" thickBot="1" x14ac:dyDescent="0.25">
      <c r="A6" s="71" t="s">
        <v>4</v>
      </c>
      <c r="B6" s="264">
        <f>+'Lead Budget'!B6</f>
        <v>46022</v>
      </c>
      <c r="C6" s="245">
        <f>+'Lead Budget'!C6</f>
        <v>46387</v>
      </c>
      <c r="D6" s="245">
        <f>+'Lead Budget'!D6</f>
        <v>46752</v>
      </c>
      <c r="E6" s="245">
        <f>+'Lead Budget'!E6</f>
        <v>47118</v>
      </c>
      <c r="F6" s="245">
        <f>+'Lead Budget'!F6</f>
        <v>47483</v>
      </c>
      <c r="G6" s="245">
        <f>+'Lead Budget'!G6</f>
        <v>47848</v>
      </c>
      <c r="H6" s="245">
        <f>+'Lead Budget'!H6</f>
        <v>48213</v>
      </c>
      <c r="I6" s="245">
        <f>+'Lead Budget'!I6</f>
        <v>48579</v>
      </c>
      <c r="J6" s="245">
        <f>+'Lead Budget'!J6</f>
        <v>48944</v>
      </c>
      <c r="K6" s="245">
        <f>+'Lead Budget'!K6</f>
        <v>49309</v>
      </c>
      <c r="L6" s="262" t="s">
        <v>5</v>
      </c>
    </row>
    <row r="7" spans="1:19" x14ac:dyDescent="0.2">
      <c r="A7" s="74" t="s">
        <v>111</v>
      </c>
      <c r="B7" s="17"/>
      <c r="C7" s="17"/>
      <c r="D7" s="4"/>
      <c r="E7" s="4"/>
      <c r="F7" s="4"/>
      <c r="G7" s="4"/>
      <c r="H7" s="4"/>
      <c r="I7" s="4"/>
      <c r="J7" s="4"/>
      <c r="K7" s="4"/>
      <c r="L7" s="83" t="s">
        <v>6</v>
      </c>
    </row>
    <row r="8" spans="1:19" x14ac:dyDescent="0.2">
      <c r="A8" s="3" t="s">
        <v>65</v>
      </c>
      <c r="B8" s="342">
        <v>0</v>
      </c>
      <c r="C8" s="342">
        <v>0</v>
      </c>
      <c r="D8" s="342">
        <v>0</v>
      </c>
      <c r="E8" s="342">
        <v>0</v>
      </c>
      <c r="F8" s="342">
        <v>0</v>
      </c>
      <c r="G8" s="342">
        <v>0</v>
      </c>
      <c r="H8" s="342">
        <v>0</v>
      </c>
      <c r="I8" s="342">
        <v>0</v>
      </c>
      <c r="J8" s="342">
        <v>0</v>
      </c>
      <c r="K8" s="342">
        <v>0</v>
      </c>
      <c r="L8" s="83">
        <f>SUM(B8:K8)</f>
        <v>0</v>
      </c>
      <c r="S8" s="5"/>
    </row>
    <row r="9" spans="1:19" x14ac:dyDescent="0.2">
      <c r="A9" s="3" t="s">
        <v>57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83">
        <f>SUM(B9:K9)</f>
        <v>0</v>
      </c>
    </row>
    <row r="10" spans="1:19" x14ac:dyDescent="0.2">
      <c r="A10" s="3" t="s">
        <v>195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83">
        <f t="shared" ref="L10:L11" si="0">SUM(B10:K10)</f>
        <v>0</v>
      </c>
    </row>
    <row r="11" spans="1:19" x14ac:dyDescent="0.2">
      <c r="A11" s="3" t="s">
        <v>196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83">
        <f t="shared" si="0"/>
        <v>0</v>
      </c>
    </row>
    <row r="12" spans="1:19" ht="12" thickBot="1" x14ac:dyDescent="0.25">
      <c r="A12" s="76" t="str">
        <f>CONCATENATE("Total ",A7)</f>
        <v>Total Senior Personnel Salary</v>
      </c>
      <c r="B12" s="6">
        <f>SUM(B7:B11)</f>
        <v>0</v>
      </c>
      <c r="C12" s="6">
        <f t="shared" ref="C12:K12" si="1">SUM(C7:C11)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86">
        <f>SUM(L7:L11)</f>
        <v>0</v>
      </c>
    </row>
    <row r="13" spans="1:19" x14ac:dyDescent="0.2">
      <c r="A13" s="75" t="s">
        <v>112</v>
      </c>
      <c r="B13" s="17"/>
      <c r="C13" s="17"/>
      <c r="D13" s="4"/>
      <c r="E13" s="4"/>
      <c r="F13" s="4"/>
      <c r="G13" s="4"/>
      <c r="H13" s="4"/>
      <c r="I13" s="4"/>
      <c r="J13" s="4"/>
      <c r="K13" s="4"/>
      <c r="L13" s="83"/>
    </row>
    <row r="14" spans="1:19" x14ac:dyDescent="0.2">
      <c r="A14" s="3" t="s">
        <v>72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83">
        <f>SUM(B14:K14)</f>
        <v>0</v>
      </c>
    </row>
    <row r="15" spans="1:19" x14ac:dyDescent="0.2">
      <c r="A15" s="3" t="s">
        <v>70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83">
        <f t="shared" ref="L15:L19" si="2">SUM(B15:K15)</f>
        <v>0</v>
      </c>
    </row>
    <row r="16" spans="1:19" x14ac:dyDescent="0.2">
      <c r="A16" s="3" t="s">
        <v>73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83">
        <f t="shared" si="2"/>
        <v>0</v>
      </c>
    </row>
    <row r="17" spans="1:20" x14ac:dyDescent="0.2">
      <c r="A17" s="3" t="s">
        <v>74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83">
        <f t="shared" si="2"/>
        <v>0</v>
      </c>
    </row>
    <row r="18" spans="1:20" x14ac:dyDescent="0.2">
      <c r="A18" s="3" t="s">
        <v>29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83">
        <f t="shared" si="2"/>
        <v>0</v>
      </c>
    </row>
    <row r="19" spans="1:20" x14ac:dyDescent="0.2">
      <c r="A19" s="3" t="s">
        <v>197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83">
        <f t="shared" si="2"/>
        <v>0</v>
      </c>
      <c r="S19" s="5"/>
      <c r="T19" s="5"/>
    </row>
    <row r="20" spans="1:20" ht="12" thickBot="1" x14ac:dyDescent="0.25">
      <c r="A20" s="76" t="str">
        <f>CONCATENATE("Total ",A13)</f>
        <v>Total Other Personnel Salary</v>
      </c>
      <c r="B20" s="6">
        <f>SUM(B13:B19)</f>
        <v>0</v>
      </c>
      <c r="C20" s="6">
        <f t="shared" ref="C20:K20" si="3">SUM(C13:C19)</f>
        <v>0</v>
      </c>
      <c r="D20" s="6">
        <f>SUM(D13:D19)</f>
        <v>0</v>
      </c>
      <c r="E20" s="6">
        <f>SUM(E13:E19)</f>
        <v>0</v>
      </c>
      <c r="F20" s="6">
        <f t="shared" si="3"/>
        <v>0</v>
      </c>
      <c r="G20" s="6">
        <f t="shared" si="3"/>
        <v>0</v>
      </c>
      <c r="H20" s="6">
        <f t="shared" si="3"/>
        <v>0</v>
      </c>
      <c r="I20" s="6">
        <f t="shared" si="3"/>
        <v>0</v>
      </c>
      <c r="J20" s="6">
        <f t="shared" si="3"/>
        <v>0</v>
      </c>
      <c r="K20" s="6">
        <f t="shared" si="3"/>
        <v>0</v>
      </c>
      <c r="L20" s="86">
        <f>SUM(L13:L19)</f>
        <v>0</v>
      </c>
    </row>
    <row r="21" spans="1:20" x14ac:dyDescent="0.2">
      <c r="A21" s="77" t="s">
        <v>7</v>
      </c>
      <c r="B21" s="17" t="s">
        <v>6</v>
      </c>
      <c r="C21" s="17"/>
      <c r="D21" s="4"/>
      <c r="E21" s="4"/>
      <c r="F21" s="4"/>
      <c r="G21" s="4"/>
      <c r="H21" s="4"/>
      <c r="I21" s="4"/>
      <c r="J21" s="4"/>
      <c r="K21" s="4"/>
      <c r="L21" s="83"/>
    </row>
    <row r="22" spans="1:20" x14ac:dyDescent="0.2">
      <c r="A22" s="3" t="str">
        <f>+A8</f>
        <v>PI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83">
        <f>SUM(B22:K22)</f>
        <v>0</v>
      </c>
    </row>
    <row r="23" spans="1:20" x14ac:dyDescent="0.2">
      <c r="A23" s="3" t="str">
        <f>+A9</f>
        <v>Co-PI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83">
        <f t="shared" ref="L23:L28" si="4">SUM(B23:K23)</f>
        <v>0</v>
      </c>
    </row>
    <row r="24" spans="1:20" x14ac:dyDescent="0.2">
      <c r="A24" s="3" t="s">
        <v>195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83">
        <f t="shared" si="4"/>
        <v>0</v>
      </c>
    </row>
    <row r="25" spans="1:20" x14ac:dyDescent="0.2">
      <c r="A25" s="3" t="s">
        <v>196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83">
        <f t="shared" si="4"/>
        <v>0</v>
      </c>
    </row>
    <row r="26" spans="1:20" x14ac:dyDescent="0.2">
      <c r="A26" s="3" t="s">
        <v>72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83">
        <f t="shared" si="4"/>
        <v>0</v>
      </c>
    </row>
    <row r="27" spans="1:20" x14ac:dyDescent="0.2">
      <c r="A27" s="3" t="s">
        <v>74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83">
        <f t="shared" si="4"/>
        <v>0</v>
      </c>
      <c r="S27" s="5"/>
      <c r="T27" s="5"/>
    </row>
    <row r="28" spans="1:20" x14ac:dyDescent="0.2">
      <c r="A28" s="3" t="s">
        <v>29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83">
        <f t="shared" si="4"/>
        <v>0</v>
      </c>
      <c r="S28" s="5"/>
      <c r="T28" s="5"/>
    </row>
    <row r="29" spans="1:20" ht="12" thickBot="1" x14ac:dyDescent="0.25">
      <c r="A29" s="76" t="s">
        <v>79</v>
      </c>
      <c r="B29" s="6">
        <f>SUM(B21:B28)</f>
        <v>0</v>
      </c>
      <c r="C29" s="6">
        <f>SUM(C21:C28)</f>
        <v>0</v>
      </c>
      <c r="D29" s="6">
        <f>SUM(D21:D28)</f>
        <v>0</v>
      </c>
      <c r="E29" s="6">
        <f t="shared" ref="E29:F29" si="5">SUM(E21:E28)</f>
        <v>0</v>
      </c>
      <c r="F29" s="6">
        <f t="shared" si="5"/>
        <v>0</v>
      </c>
      <c r="G29" s="6">
        <f t="shared" ref="G29:K29" si="6">SUM(G21:G28)</f>
        <v>0</v>
      </c>
      <c r="H29" s="6">
        <f t="shared" si="6"/>
        <v>0</v>
      </c>
      <c r="I29" s="6">
        <f t="shared" si="6"/>
        <v>0</v>
      </c>
      <c r="J29" s="6">
        <f t="shared" si="6"/>
        <v>0</v>
      </c>
      <c r="K29" s="6">
        <f t="shared" si="6"/>
        <v>0</v>
      </c>
      <c r="L29" s="86">
        <f>SUM(L21:L28)</f>
        <v>0</v>
      </c>
      <c r="S29" s="5"/>
      <c r="T29" s="5"/>
    </row>
    <row r="30" spans="1:20" ht="12" thickBot="1" x14ac:dyDescent="0.25">
      <c r="A30" s="130" t="s">
        <v>108</v>
      </c>
      <c r="B30" s="131">
        <f>+B12+B20+B29</f>
        <v>0</v>
      </c>
      <c r="C30" s="131">
        <f>+C12+C20+C29</f>
        <v>0</v>
      </c>
      <c r="D30" s="131">
        <f>+D12+D20+D29</f>
        <v>0</v>
      </c>
      <c r="E30" s="131">
        <f t="shared" ref="E30:F30" si="7">+E12+E20+E29</f>
        <v>0</v>
      </c>
      <c r="F30" s="131">
        <f t="shared" si="7"/>
        <v>0</v>
      </c>
      <c r="G30" s="131">
        <f t="shared" ref="G30:K30" si="8">+G12+G20+G29</f>
        <v>0</v>
      </c>
      <c r="H30" s="131">
        <f t="shared" si="8"/>
        <v>0</v>
      </c>
      <c r="I30" s="131">
        <f t="shared" si="8"/>
        <v>0</v>
      </c>
      <c r="J30" s="131">
        <f t="shared" si="8"/>
        <v>0</v>
      </c>
      <c r="K30" s="131">
        <f t="shared" si="8"/>
        <v>0</v>
      </c>
      <c r="L30" s="132">
        <f>+L12+L20+L29</f>
        <v>0</v>
      </c>
      <c r="S30" s="5"/>
      <c r="T30" s="5"/>
    </row>
    <row r="31" spans="1:20" x14ac:dyDescent="0.2">
      <c r="A31" s="77" t="s">
        <v>25</v>
      </c>
      <c r="B31" s="17"/>
      <c r="C31" s="17"/>
      <c r="D31" s="4"/>
      <c r="E31" s="4"/>
      <c r="F31" s="4"/>
      <c r="G31" s="4"/>
      <c r="H31" s="4"/>
      <c r="I31" s="4"/>
      <c r="J31" s="4"/>
      <c r="K31" s="4"/>
      <c r="L31" s="83"/>
      <c r="S31" s="5"/>
      <c r="T31" s="5"/>
    </row>
    <row r="32" spans="1:20" x14ac:dyDescent="0.2">
      <c r="A32" s="3" t="s">
        <v>62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83">
        <f>SUM(B32:K32)</f>
        <v>0</v>
      </c>
    </row>
    <row r="33" spans="1:20" x14ac:dyDescent="0.2">
      <c r="A33" s="3" t="s">
        <v>29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83">
        <f>SUM(B33:K33)</f>
        <v>0</v>
      </c>
    </row>
    <row r="34" spans="1:20" ht="12" thickBot="1" x14ac:dyDescent="0.25">
      <c r="A34" s="76" t="s">
        <v>26</v>
      </c>
      <c r="B34" s="6">
        <f>SUM(B31:B33)</f>
        <v>0</v>
      </c>
      <c r="C34" s="6">
        <f>SUM(C31:C33)</f>
        <v>0</v>
      </c>
      <c r="D34" s="6">
        <f>SUM(D31:D33)</f>
        <v>0</v>
      </c>
      <c r="E34" s="6">
        <f t="shared" ref="E34:K34" si="9">SUM(E31:E33)</f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86">
        <f>SUM(L31:L33)</f>
        <v>0</v>
      </c>
    </row>
    <row r="35" spans="1:20" x14ac:dyDescent="0.2">
      <c r="A35" s="77" t="s">
        <v>34</v>
      </c>
      <c r="B35" s="17"/>
      <c r="C35" s="17"/>
      <c r="D35" s="4"/>
      <c r="E35" s="4"/>
      <c r="F35" s="4"/>
      <c r="G35" s="4"/>
      <c r="H35" s="4"/>
      <c r="I35" s="4"/>
      <c r="J35" s="4"/>
      <c r="K35" s="4"/>
      <c r="L35" s="83"/>
    </row>
    <row r="36" spans="1:20" x14ac:dyDescent="0.2">
      <c r="A36" s="3" t="s">
        <v>10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83">
        <f>SUM(B36:K36)</f>
        <v>0</v>
      </c>
      <c r="S36" s="5"/>
      <c r="T36" s="5"/>
    </row>
    <row r="37" spans="1:20" x14ac:dyDescent="0.2">
      <c r="A37" s="3" t="s">
        <v>11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83">
        <f>SUM(B37:K37)</f>
        <v>0</v>
      </c>
      <c r="S37" s="5"/>
      <c r="T37" s="5"/>
    </row>
    <row r="38" spans="1:20" ht="12" thickBot="1" x14ac:dyDescent="0.25">
      <c r="A38" s="76" t="s">
        <v>12</v>
      </c>
      <c r="B38" s="6">
        <f>SUM(B35:B37)</f>
        <v>0</v>
      </c>
      <c r="C38" s="6">
        <f>SUM(C35:C37)</f>
        <v>0</v>
      </c>
      <c r="D38" s="6">
        <f>SUM(D35:D37)</f>
        <v>0</v>
      </c>
      <c r="E38" s="6">
        <f t="shared" ref="E38:K38" si="10">SUM(E35:E37)</f>
        <v>0</v>
      </c>
      <c r="F38" s="6">
        <f t="shared" si="10"/>
        <v>0</v>
      </c>
      <c r="G38" s="6">
        <f t="shared" si="10"/>
        <v>0</v>
      </c>
      <c r="H38" s="6">
        <f t="shared" si="10"/>
        <v>0</v>
      </c>
      <c r="I38" s="6">
        <f t="shared" si="10"/>
        <v>0</v>
      </c>
      <c r="J38" s="6">
        <f t="shared" si="10"/>
        <v>0</v>
      </c>
      <c r="K38" s="6">
        <f t="shared" si="10"/>
        <v>0</v>
      </c>
      <c r="L38" s="86">
        <f>SUM(L35:L37)</f>
        <v>0</v>
      </c>
      <c r="S38" s="5"/>
      <c r="T38" s="5"/>
    </row>
    <row r="39" spans="1:20" x14ac:dyDescent="0.2">
      <c r="A39" s="77" t="s">
        <v>27</v>
      </c>
      <c r="B39" s="17"/>
      <c r="C39" s="17"/>
      <c r="D39" s="4"/>
      <c r="E39" s="4"/>
      <c r="F39" s="4"/>
      <c r="G39" s="4"/>
      <c r="H39" s="4"/>
      <c r="I39" s="4"/>
      <c r="J39" s="4"/>
      <c r="K39" s="4"/>
      <c r="L39" s="83"/>
      <c r="S39" s="5"/>
      <c r="T39" s="5"/>
    </row>
    <row r="40" spans="1:20" x14ac:dyDescent="0.2">
      <c r="A40" s="3" t="s">
        <v>75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83">
        <f>SUM(B40:K40)</f>
        <v>0</v>
      </c>
      <c r="S40" s="5"/>
      <c r="T40" s="5"/>
    </row>
    <row r="41" spans="1:20" x14ac:dyDescent="0.2">
      <c r="A41" s="3" t="s">
        <v>42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83">
        <f t="shared" ref="L41:L44" si="11">SUM(B41:K41)</f>
        <v>0</v>
      </c>
      <c r="S41" s="5"/>
      <c r="T41" s="5"/>
    </row>
    <row r="42" spans="1:20" x14ac:dyDescent="0.2">
      <c r="A42" s="3" t="s">
        <v>34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83">
        <f t="shared" si="11"/>
        <v>0</v>
      </c>
    </row>
    <row r="43" spans="1:20" x14ac:dyDescent="0.2">
      <c r="A43" s="3" t="s">
        <v>43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83">
        <f t="shared" si="11"/>
        <v>0</v>
      </c>
    </row>
    <row r="44" spans="1:20" x14ac:dyDescent="0.2">
      <c r="A44" s="3" t="s">
        <v>29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83">
        <f t="shared" si="11"/>
        <v>0</v>
      </c>
    </row>
    <row r="45" spans="1:20" ht="12" thickBot="1" x14ac:dyDescent="0.25">
      <c r="A45" s="76" t="s">
        <v>28</v>
      </c>
      <c r="B45" s="6">
        <f>SUM(B39:B44)</f>
        <v>0</v>
      </c>
      <c r="C45" s="6">
        <f>SUM(C39:C44)</f>
        <v>0</v>
      </c>
      <c r="D45" s="6">
        <f>SUM(D39:D44)</f>
        <v>0</v>
      </c>
      <c r="E45" s="6">
        <f t="shared" ref="E45:K45" si="12">SUM(E39:E44)</f>
        <v>0</v>
      </c>
      <c r="F45" s="6">
        <f t="shared" si="12"/>
        <v>0</v>
      </c>
      <c r="G45" s="6">
        <f t="shared" si="12"/>
        <v>0</v>
      </c>
      <c r="H45" s="6">
        <f t="shared" si="12"/>
        <v>0</v>
      </c>
      <c r="I45" s="6">
        <f t="shared" si="12"/>
        <v>0</v>
      </c>
      <c r="J45" s="6">
        <f t="shared" si="12"/>
        <v>0</v>
      </c>
      <c r="K45" s="6">
        <f t="shared" si="12"/>
        <v>0</v>
      </c>
      <c r="L45" s="86">
        <f>SUM(L39:L44)</f>
        <v>0</v>
      </c>
    </row>
    <row r="46" spans="1:20" x14ac:dyDescent="0.2">
      <c r="A46" s="77" t="s">
        <v>13</v>
      </c>
      <c r="B46" s="17"/>
      <c r="C46" s="17"/>
      <c r="D46" s="4"/>
      <c r="E46" s="4"/>
      <c r="F46" s="4"/>
      <c r="G46" s="4"/>
      <c r="H46" s="4"/>
      <c r="I46" s="4"/>
      <c r="J46" s="4"/>
      <c r="K46" s="4"/>
      <c r="L46" s="83"/>
    </row>
    <row r="47" spans="1:20" x14ac:dyDescent="0.2">
      <c r="A47" s="3" t="s">
        <v>14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83">
        <f>SUM(B47:K47)</f>
        <v>0</v>
      </c>
    </row>
    <row r="48" spans="1:20" x14ac:dyDescent="0.2">
      <c r="A48" s="3" t="s">
        <v>76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83">
        <f t="shared" ref="L48:L53" si="13">SUM(B48:K48)</f>
        <v>0</v>
      </c>
    </row>
    <row r="49" spans="1:20" x14ac:dyDescent="0.2">
      <c r="A49" s="3" t="s">
        <v>15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83">
        <f t="shared" si="13"/>
        <v>0</v>
      </c>
    </row>
    <row r="50" spans="1:20" x14ac:dyDescent="0.2">
      <c r="A50" s="3" t="s">
        <v>77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83">
        <f t="shared" si="13"/>
        <v>0</v>
      </c>
    </row>
    <row r="51" spans="1:20" x14ac:dyDescent="0.2">
      <c r="A51" s="3" t="s">
        <v>41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83">
        <f t="shared" si="13"/>
        <v>0</v>
      </c>
    </row>
    <row r="52" spans="1:20" x14ac:dyDescent="0.2">
      <c r="A52" s="3" t="s">
        <v>78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83">
        <f t="shared" si="13"/>
        <v>0</v>
      </c>
    </row>
    <row r="53" spans="1:20" x14ac:dyDescent="0.2">
      <c r="A53" s="3" t="s">
        <v>29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83">
        <f t="shared" si="13"/>
        <v>0</v>
      </c>
    </row>
    <row r="54" spans="1:20" ht="12" thickBot="1" x14ac:dyDescent="0.25">
      <c r="A54" s="76" t="s">
        <v>80</v>
      </c>
      <c r="B54" s="6">
        <f t="shared" ref="B54:L54" si="14">SUM(B46:B53)</f>
        <v>0</v>
      </c>
      <c r="C54" s="6">
        <f t="shared" si="14"/>
        <v>0</v>
      </c>
      <c r="D54" s="6">
        <f t="shared" si="14"/>
        <v>0</v>
      </c>
      <c r="E54" s="6">
        <f t="shared" si="14"/>
        <v>0</v>
      </c>
      <c r="F54" s="6">
        <f t="shared" si="14"/>
        <v>0</v>
      </c>
      <c r="G54" s="6">
        <f t="shared" ref="G54:K54" si="15">SUM(G46:G53)</f>
        <v>0</v>
      </c>
      <c r="H54" s="6">
        <f t="shared" si="15"/>
        <v>0</v>
      </c>
      <c r="I54" s="6">
        <f t="shared" si="15"/>
        <v>0</v>
      </c>
      <c r="J54" s="6">
        <f t="shared" si="15"/>
        <v>0</v>
      </c>
      <c r="K54" s="6">
        <f t="shared" si="15"/>
        <v>0</v>
      </c>
      <c r="L54" s="86">
        <f t="shared" si="14"/>
        <v>0</v>
      </c>
      <c r="P54" s="1"/>
      <c r="S54" s="5"/>
      <c r="T54" s="5"/>
    </row>
    <row r="55" spans="1:20" ht="12" thickBot="1" x14ac:dyDescent="0.25">
      <c r="A55" s="98" t="s">
        <v>16</v>
      </c>
      <c r="B55" s="96">
        <f>SUM(+B12+B20+B29+B34+B38+B45+B54)</f>
        <v>0</v>
      </c>
      <c r="C55" s="96">
        <f>SUM(+C12+C20+C29+C34+C38+C45+C54)</f>
        <v>0</v>
      </c>
      <c r="D55" s="96">
        <f t="shared" ref="D55:E55" si="16">SUM(+D12+D20+D29+D34+D38+D45+D54)</f>
        <v>0</v>
      </c>
      <c r="E55" s="96">
        <f t="shared" si="16"/>
        <v>0</v>
      </c>
      <c r="F55" s="96">
        <f>SUM(+F12+F20+F29+F34+F38+F45+F54)</f>
        <v>0</v>
      </c>
      <c r="G55" s="96">
        <f t="shared" ref="G55:K55" si="17">SUM(+G12+G20+G29+G34+G38+G45+G54)</f>
        <v>0</v>
      </c>
      <c r="H55" s="96">
        <f t="shared" si="17"/>
        <v>0</v>
      </c>
      <c r="I55" s="96">
        <f t="shared" si="17"/>
        <v>0</v>
      </c>
      <c r="J55" s="96">
        <f t="shared" si="17"/>
        <v>0</v>
      </c>
      <c r="K55" s="96">
        <f t="shared" si="17"/>
        <v>0</v>
      </c>
      <c r="L55" s="97">
        <f>SUM(+L12+L20+L29+L34+L38+L45+L54)</f>
        <v>0</v>
      </c>
      <c r="S55" s="5"/>
      <c r="T55" s="5"/>
    </row>
    <row r="56" spans="1:20" ht="12" thickBot="1" x14ac:dyDescent="0.25">
      <c r="A56" s="71" t="s">
        <v>18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81">
        <f>SUM(B56:K56)</f>
        <v>0</v>
      </c>
      <c r="S56" s="5"/>
      <c r="T56" s="5"/>
    </row>
    <row r="57" spans="1:20" ht="12" thickBot="1" x14ac:dyDescent="0.25">
      <c r="A57" s="79" t="s">
        <v>19</v>
      </c>
      <c r="B57" s="80">
        <f>+B55+B56</f>
        <v>0</v>
      </c>
      <c r="C57" s="80">
        <f t="shared" ref="C57:F57" si="18">+C55+C56</f>
        <v>0</v>
      </c>
      <c r="D57" s="80">
        <f t="shared" si="18"/>
        <v>0</v>
      </c>
      <c r="E57" s="80">
        <f t="shared" si="18"/>
        <v>0</v>
      </c>
      <c r="F57" s="80">
        <f t="shared" si="18"/>
        <v>0</v>
      </c>
      <c r="G57" s="80">
        <f t="shared" ref="G57:K57" si="19">+G55+G56</f>
        <v>0</v>
      </c>
      <c r="H57" s="80">
        <f t="shared" si="19"/>
        <v>0</v>
      </c>
      <c r="I57" s="80">
        <f t="shared" si="19"/>
        <v>0</v>
      </c>
      <c r="J57" s="80">
        <f t="shared" si="19"/>
        <v>0</v>
      </c>
      <c r="K57" s="80">
        <f t="shared" si="19"/>
        <v>0</v>
      </c>
      <c r="L57" s="81">
        <f>SUM(B57:K57)</f>
        <v>0</v>
      </c>
      <c r="S57" s="5"/>
      <c r="T57" s="5"/>
    </row>
    <row r="58" spans="1:20" x14ac:dyDescent="0.2">
      <c r="A58" s="7"/>
      <c r="B58" s="4"/>
      <c r="C58" s="4"/>
      <c r="D58" s="4"/>
      <c r="E58" s="4"/>
      <c r="F58" s="4"/>
      <c r="G58" s="4"/>
      <c r="H58" s="4"/>
      <c r="I58" s="4"/>
      <c r="J58" s="4"/>
      <c r="K58" s="4"/>
      <c r="Q58" s="4"/>
      <c r="S58" s="5"/>
      <c r="T58" s="5"/>
    </row>
    <row r="59" spans="1:20" x14ac:dyDescent="0.2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N59" s="18"/>
      <c r="O59" s="4"/>
      <c r="P59" s="18"/>
      <c r="Q59" s="18"/>
      <c r="R59" s="18"/>
      <c r="S59" s="5"/>
      <c r="T59" s="5"/>
    </row>
    <row r="60" spans="1:20" x14ac:dyDescent="0.2">
      <c r="A60" s="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N60" s="18"/>
      <c r="O60" s="4"/>
      <c r="P60" s="18"/>
      <c r="Q60" s="18"/>
      <c r="R60" s="18"/>
      <c r="S60" s="5"/>
      <c r="T60" s="5"/>
    </row>
    <row r="61" spans="1:20" ht="12" thickBot="1" x14ac:dyDescent="0.25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2"/>
      <c r="N61" s="12"/>
      <c r="O61" s="12"/>
      <c r="P61" s="4"/>
    </row>
    <row r="63" spans="1:20" x14ac:dyDescent="0.2">
      <c r="A63" s="1" t="s">
        <v>37</v>
      </c>
      <c r="B63" s="84">
        <f>IF(B57&lt;25000,B57,25000)</f>
        <v>0</v>
      </c>
      <c r="C63" s="84">
        <f>IF(+B57&gt;25000,0,IF(B57+C57&gt;25000,(25000-B57),C57))</f>
        <v>0</v>
      </c>
      <c r="D63" s="84">
        <f>IF(+B57+C57&gt;25000,0,IF(B57+C57+D57&gt;25000,(25000-(B57+C57)),D57))</f>
        <v>0</v>
      </c>
      <c r="E63" s="84">
        <f>IF(B57+C57+D57&gt;25000,0,IF(B57+C57+D57+E57&gt;25000,(25000-(B57+C57+D57)),E57))</f>
        <v>0</v>
      </c>
      <c r="F63" s="84">
        <f>IF(B57+C57+D57+E57&gt;25000,0,IF(B57+C57+D57+E57+F57&gt;25000,(25000-(B57+C57+D57+E57)),F57))</f>
        <v>0</v>
      </c>
      <c r="G63" s="84">
        <f t="shared" ref="G63:K63" si="20">IF(C57+D57+E57+F57&gt;25000,0,IF(C57+D57+E57+F57+G57&gt;25000,(25000-(C57+D57+E57+F57)),G57))</f>
        <v>0</v>
      </c>
      <c r="H63" s="84">
        <f t="shared" si="20"/>
        <v>0</v>
      </c>
      <c r="I63" s="84">
        <f t="shared" si="20"/>
        <v>0</v>
      </c>
      <c r="J63" s="84">
        <f t="shared" si="20"/>
        <v>0</v>
      </c>
      <c r="K63" s="84">
        <f t="shared" si="20"/>
        <v>0</v>
      </c>
      <c r="L63" s="17">
        <f>SUM(B63:K63)</f>
        <v>0</v>
      </c>
      <c r="M63" s="17"/>
      <c r="N63" s="1"/>
    </row>
    <row r="64" spans="1:20" x14ac:dyDescent="0.2">
      <c r="A64" s="1" t="s">
        <v>38</v>
      </c>
      <c r="B64" s="84">
        <f>+B57-B63</f>
        <v>0</v>
      </c>
      <c r="C64" s="84">
        <f>+C57-C63</f>
        <v>0</v>
      </c>
      <c r="D64" s="84">
        <f>+D57-D63</f>
        <v>0</v>
      </c>
      <c r="E64" s="84">
        <f>+E57-E63</f>
        <v>0</v>
      </c>
      <c r="F64" s="84">
        <f>+F57-F63</f>
        <v>0</v>
      </c>
      <c r="G64" s="84">
        <f t="shared" ref="G64:K64" si="21">+G57-G63</f>
        <v>0</v>
      </c>
      <c r="H64" s="84">
        <f t="shared" si="21"/>
        <v>0</v>
      </c>
      <c r="I64" s="84">
        <f t="shared" si="21"/>
        <v>0</v>
      </c>
      <c r="J64" s="84">
        <f t="shared" si="21"/>
        <v>0</v>
      </c>
      <c r="K64" s="84">
        <f t="shared" si="21"/>
        <v>0</v>
      </c>
      <c r="L64" s="17">
        <f>SUM(B64:K64)</f>
        <v>0</v>
      </c>
      <c r="M64" s="17"/>
      <c r="N64" s="1"/>
    </row>
    <row r="65" spans="2:12" x14ac:dyDescent="0.2">
      <c r="C65" s="5"/>
      <c r="L65" s="17"/>
    </row>
    <row r="66" spans="2:12" x14ac:dyDescent="0.2">
      <c r="B66" s="5">
        <f>SUM(B63:B64)</f>
        <v>0</v>
      </c>
      <c r="C66" s="5">
        <f>SUM(C63:C64)</f>
        <v>0</v>
      </c>
      <c r="D66" s="5">
        <f t="shared" ref="D66:F66" si="22">SUM(D63:D64)</f>
        <v>0</v>
      </c>
      <c r="E66" s="5">
        <f t="shared" si="22"/>
        <v>0</v>
      </c>
      <c r="F66" s="5">
        <f t="shared" si="22"/>
        <v>0</v>
      </c>
      <c r="G66" s="5">
        <f t="shared" ref="G66:K66" si="23">SUM(G63:G64)</f>
        <v>0</v>
      </c>
      <c r="H66" s="5">
        <f t="shared" si="23"/>
        <v>0</v>
      </c>
      <c r="I66" s="5">
        <f t="shared" si="23"/>
        <v>0</v>
      </c>
      <c r="J66" s="5">
        <f t="shared" si="23"/>
        <v>0</v>
      </c>
      <c r="K66" s="5">
        <f t="shared" si="23"/>
        <v>0</v>
      </c>
      <c r="L66" s="17">
        <f>SUM(B66:K66)</f>
        <v>0</v>
      </c>
    </row>
  </sheetData>
  <pageMargins left="0.75" right="0.53" top="0.7" bottom="0.64" header="0.5" footer="0.5"/>
  <pageSetup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T66"/>
  <sheetViews>
    <sheetView zoomScale="130" zoomScaleNormal="130" workbookViewId="0"/>
  </sheetViews>
  <sheetFormatPr defaultColWidth="9.140625" defaultRowHeight="11.25" x14ac:dyDescent="0.2"/>
  <cols>
    <col min="1" max="1" width="33.42578125" style="1" customWidth="1"/>
    <col min="2" max="11" width="8.42578125" style="1" customWidth="1"/>
    <col min="12" max="12" width="9.5703125" style="2" bestFit="1" customWidth="1"/>
    <col min="13" max="13" width="9.7109375" style="2" customWidth="1"/>
    <col min="14" max="14" width="18.5703125" style="2" bestFit="1" customWidth="1"/>
    <col min="15" max="15" width="6.85546875" style="2" bestFit="1" customWidth="1"/>
    <col min="16" max="16" width="9.85546875" style="2" customWidth="1"/>
    <col min="17" max="18" width="9.7109375" style="1" customWidth="1"/>
    <col min="19" max="16384" width="9.140625" style="1"/>
  </cols>
  <sheetData>
    <row r="1" spans="1:19" ht="12.75" x14ac:dyDescent="0.2">
      <c r="A1" s="67">
        <f>+'Lead Budget'!A1</f>
        <v>0</v>
      </c>
    </row>
    <row r="2" spans="1:19" ht="12.75" x14ac:dyDescent="0.2">
      <c r="A2" s="67" t="str">
        <f>+'Lead Budget'!A2</f>
        <v>NSF</v>
      </c>
    </row>
    <row r="3" spans="1:19" ht="12.75" customHeight="1" thickBot="1" x14ac:dyDescent="0.25"/>
    <row r="4" spans="1:19" x14ac:dyDescent="0.2">
      <c r="A4" s="68"/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69"/>
    </row>
    <row r="5" spans="1:19" ht="12" thickBot="1" x14ac:dyDescent="0.25">
      <c r="A5" s="68" t="str">
        <f ca="1">""&amp;MID('rates, dates, etc'!AR10,FIND("]",'rates, dates, etc'!AR10)+1,25)</f>
        <v>Consortium 3</v>
      </c>
      <c r="B5" s="70">
        <f>+'Lead Budget'!B5</f>
        <v>45658</v>
      </c>
      <c r="C5" s="70">
        <f>+'Lead Budget'!C5</f>
        <v>46023</v>
      </c>
      <c r="D5" s="70">
        <f>+'Lead Budget'!D5</f>
        <v>46388</v>
      </c>
      <c r="E5" s="70">
        <f>+'Lead Budget'!E5</f>
        <v>46753</v>
      </c>
      <c r="F5" s="70">
        <f>+'Lead Budget'!F5</f>
        <v>47119</v>
      </c>
      <c r="G5" s="70">
        <f>+'Lead Budget'!G5</f>
        <v>47484</v>
      </c>
      <c r="H5" s="70">
        <f>+'Lead Budget'!H5</f>
        <v>47849</v>
      </c>
      <c r="I5" s="70">
        <f>+'Lead Budget'!I5</f>
        <v>48214</v>
      </c>
      <c r="J5" s="70">
        <f>+'Lead Budget'!J5</f>
        <v>48580</v>
      </c>
      <c r="K5" s="70">
        <f>+'Lead Budget'!K5</f>
        <v>48945</v>
      </c>
      <c r="L5" s="85"/>
    </row>
    <row r="6" spans="1:19" ht="12" thickBot="1" x14ac:dyDescent="0.25">
      <c r="A6" s="71" t="s">
        <v>4</v>
      </c>
      <c r="B6" s="88">
        <f>+'Lead Budget'!B6</f>
        <v>46022</v>
      </c>
      <c r="C6" s="72">
        <f>+'Lead Budget'!C6</f>
        <v>46387</v>
      </c>
      <c r="D6" s="72">
        <f>+'Lead Budget'!D6</f>
        <v>46752</v>
      </c>
      <c r="E6" s="72">
        <f>+'Lead Budget'!E6</f>
        <v>47118</v>
      </c>
      <c r="F6" s="72">
        <f>+'Lead Budget'!F6</f>
        <v>47483</v>
      </c>
      <c r="G6" s="72">
        <f>+'Lead Budget'!G6</f>
        <v>47848</v>
      </c>
      <c r="H6" s="72">
        <f>+'Lead Budget'!H6</f>
        <v>48213</v>
      </c>
      <c r="I6" s="72">
        <f>+'Lead Budget'!I6</f>
        <v>48579</v>
      </c>
      <c r="J6" s="72">
        <f>+'Lead Budget'!J6</f>
        <v>48944</v>
      </c>
      <c r="K6" s="72">
        <f>+'Lead Budget'!K6</f>
        <v>49309</v>
      </c>
      <c r="L6" s="73" t="s">
        <v>5</v>
      </c>
    </row>
    <row r="7" spans="1:19" x14ac:dyDescent="0.2">
      <c r="A7" s="74" t="s">
        <v>111</v>
      </c>
      <c r="B7" s="17"/>
      <c r="C7" s="17"/>
      <c r="D7" s="4"/>
      <c r="E7" s="4"/>
      <c r="F7" s="4"/>
      <c r="G7" s="4"/>
      <c r="H7" s="4"/>
      <c r="I7" s="4"/>
      <c r="J7" s="4"/>
      <c r="K7" s="4"/>
      <c r="L7" s="83" t="s">
        <v>6</v>
      </c>
    </row>
    <row r="8" spans="1:19" x14ac:dyDescent="0.2">
      <c r="A8" s="3" t="s">
        <v>65</v>
      </c>
      <c r="B8" s="342">
        <v>0</v>
      </c>
      <c r="C8" s="342">
        <v>0</v>
      </c>
      <c r="D8" s="342">
        <v>0</v>
      </c>
      <c r="E8" s="342">
        <v>0</v>
      </c>
      <c r="F8" s="342">
        <v>0</v>
      </c>
      <c r="G8" s="342">
        <v>0</v>
      </c>
      <c r="H8" s="342">
        <v>0</v>
      </c>
      <c r="I8" s="342">
        <v>0</v>
      </c>
      <c r="J8" s="342">
        <v>0</v>
      </c>
      <c r="K8" s="342">
        <v>0</v>
      </c>
      <c r="L8" s="83">
        <f>SUM(B8:K8)</f>
        <v>0</v>
      </c>
      <c r="S8" s="5"/>
    </row>
    <row r="9" spans="1:19" x14ac:dyDescent="0.2">
      <c r="A9" s="3" t="s">
        <v>57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83">
        <f>SUM(B9:K9)</f>
        <v>0</v>
      </c>
    </row>
    <row r="10" spans="1:19" x14ac:dyDescent="0.2">
      <c r="A10" s="3" t="s">
        <v>195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83">
        <f t="shared" ref="L10:L11" si="0">SUM(B10:K10)</f>
        <v>0</v>
      </c>
    </row>
    <row r="11" spans="1:19" x14ac:dyDescent="0.2">
      <c r="A11" s="3" t="s">
        <v>196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83">
        <f t="shared" si="0"/>
        <v>0</v>
      </c>
    </row>
    <row r="12" spans="1:19" ht="12" thickBot="1" x14ac:dyDescent="0.25">
      <c r="A12" s="76" t="str">
        <f>CONCATENATE("Total ",A7)</f>
        <v>Total Senior Personnel Salary</v>
      </c>
      <c r="B12" s="6">
        <f>SUM(B7:B11)</f>
        <v>0</v>
      </c>
      <c r="C12" s="6">
        <f t="shared" ref="C12:K12" si="1">SUM(C7:C11)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86">
        <f>SUM(L7:L11)</f>
        <v>0</v>
      </c>
    </row>
    <row r="13" spans="1:19" x14ac:dyDescent="0.2">
      <c r="A13" s="75" t="s">
        <v>112</v>
      </c>
      <c r="B13" s="17"/>
      <c r="C13" s="17"/>
      <c r="D13" s="4"/>
      <c r="E13" s="4"/>
      <c r="F13" s="4"/>
      <c r="G13" s="4"/>
      <c r="H13" s="4"/>
      <c r="I13" s="4"/>
      <c r="J13" s="4"/>
      <c r="K13" s="4"/>
      <c r="L13" s="83"/>
    </row>
    <row r="14" spans="1:19" x14ac:dyDescent="0.2">
      <c r="A14" s="3" t="s">
        <v>72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83">
        <f>SUM(B14:K14)</f>
        <v>0</v>
      </c>
    </row>
    <row r="15" spans="1:19" x14ac:dyDescent="0.2">
      <c r="A15" s="3" t="s">
        <v>70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83">
        <f t="shared" ref="L15:L19" si="2">SUM(B15:K15)</f>
        <v>0</v>
      </c>
    </row>
    <row r="16" spans="1:19" x14ac:dyDescent="0.2">
      <c r="A16" s="3" t="s">
        <v>73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83">
        <f t="shared" si="2"/>
        <v>0</v>
      </c>
    </row>
    <row r="17" spans="1:20" x14ac:dyDescent="0.2">
      <c r="A17" s="3" t="s">
        <v>74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83">
        <f t="shared" si="2"/>
        <v>0</v>
      </c>
    </row>
    <row r="18" spans="1:20" x14ac:dyDescent="0.2">
      <c r="A18" s="3" t="s">
        <v>29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83">
        <f t="shared" si="2"/>
        <v>0</v>
      </c>
    </row>
    <row r="19" spans="1:20" x14ac:dyDescent="0.2">
      <c r="A19" s="3" t="s">
        <v>197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83">
        <f t="shared" si="2"/>
        <v>0</v>
      </c>
      <c r="S19" s="5"/>
      <c r="T19" s="5"/>
    </row>
    <row r="20" spans="1:20" ht="12" thickBot="1" x14ac:dyDescent="0.25">
      <c r="A20" s="76" t="str">
        <f>CONCATENATE("Total ",A13)</f>
        <v>Total Other Personnel Salary</v>
      </c>
      <c r="B20" s="6">
        <f>SUM(B13:B19)</f>
        <v>0</v>
      </c>
      <c r="C20" s="6">
        <f t="shared" ref="C20:K20" si="3">SUM(C13:C19)</f>
        <v>0</v>
      </c>
      <c r="D20" s="6">
        <f>SUM(D13:D19)</f>
        <v>0</v>
      </c>
      <c r="E20" s="6">
        <f>SUM(E13:E19)</f>
        <v>0</v>
      </c>
      <c r="F20" s="6">
        <f t="shared" si="3"/>
        <v>0</v>
      </c>
      <c r="G20" s="6">
        <f t="shared" si="3"/>
        <v>0</v>
      </c>
      <c r="H20" s="6">
        <f t="shared" si="3"/>
        <v>0</v>
      </c>
      <c r="I20" s="6">
        <f t="shared" si="3"/>
        <v>0</v>
      </c>
      <c r="J20" s="6">
        <f t="shared" si="3"/>
        <v>0</v>
      </c>
      <c r="K20" s="6">
        <f t="shared" si="3"/>
        <v>0</v>
      </c>
      <c r="L20" s="86">
        <f>SUM(L13:L19)</f>
        <v>0</v>
      </c>
    </row>
    <row r="21" spans="1:20" x14ac:dyDescent="0.2">
      <c r="A21" s="77" t="s">
        <v>7</v>
      </c>
      <c r="B21" s="17" t="s">
        <v>6</v>
      </c>
      <c r="C21" s="17"/>
      <c r="D21" s="4"/>
      <c r="E21" s="4"/>
      <c r="F21" s="4"/>
      <c r="G21" s="4"/>
      <c r="H21" s="4"/>
      <c r="I21" s="4"/>
      <c r="J21" s="4"/>
      <c r="K21" s="4"/>
      <c r="L21" s="83"/>
    </row>
    <row r="22" spans="1:20" x14ac:dyDescent="0.2">
      <c r="A22" s="3" t="str">
        <f>+A8</f>
        <v>PI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83">
        <f>SUM(B22:K22)</f>
        <v>0</v>
      </c>
    </row>
    <row r="23" spans="1:20" x14ac:dyDescent="0.2">
      <c r="A23" s="3" t="str">
        <f>+A9</f>
        <v>Co-PI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83">
        <f t="shared" ref="L23:L28" si="4">SUM(B23:K23)</f>
        <v>0</v>
      </c>
    </row>
    <row r="24" spans="1:20" x14ac:dyDescent="0.2">
      <c r="A24" s="3" t="s">
        <v>195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83">
        <f t="shared" si="4"/>
        <v>0</v>
      </c>
    </row>
    <row r="25" spans="1:20" x14ac:dyDescent="0.2">
      <c r="A25" s="3" t="s">
        <v>196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83">
        <f t="shared" si="4"/>
        <v>0</v>
      </c>
    </row>
    <row r="26" spans="1:20" x14ac:dyDescent="0.2">
      <c r="A26" s="3" t="s">
        <v>72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83">
        <f t="shared" si="4"/>
        <v>0</v>
      </c>
    </row>
    <row r="27" spans="1:20" x14ac:dyDescent="0.2">
      <c r="A27" s="3" t="s">
        <v>74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83">
        <f t="shared" si="4"/>
        <v>0</v>
      </c>
      <c r="S27" s="5"/>
      <c r="T27" s="5"/>
    </row>
    <row r="28" spans="1:20" x14ac:dyDescent="0.2">
      <c r="A28" s="3" t="s">
        <v>29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83">
        <f t="shared" si="4"/>
        <v>0</v>
      </c>
      <c r="S28" s="5"/>
      <c r="T28" s="5"/>
    </row>
    <row r="29" spans="1:20" ht="12" thickBot="1" x14ac:dyDescent="0.25">
      <c r="A29" s="76" t="s">
        <v>79</v>
      </c>
      <c r="B29" s="6">
        <f>SUM(B21:B28)</f>
        <v>0</v>
      </c>
      <c r="C29" s="6">
        <f>SUM(C21:C28)</f>
        <v>0</v>
      </c>
      <c r="D29" s="6">
        <f>SUM(D21:D28)</f>
        <v>0</v>
      </c>
      <c r="E29" s="6">
        <f t="shared" ref="E29:F29" si="5">SUM(E21:E28)</f>
        <v>0</v>
      </c>
      <c r="F29" s="6">
        <f t="shared" si="5"/>
        <v>0</v>
      </c>
      <c r="G29" s="6">
        <f t="shared" ref="G29:K29" si="6">SUM(G21:G28)</f>
        <v>0</v>
      </c>
      <c r="H29" s="6">
        <f t="shared" si="6"/>
        <v>0</v>
      </c>
      <c r="I29" s="6">
        <f t="shared" si="6"/>
        <v>0</v>
      </c>
      <c r="J29" s="6">
        <f t="shared" si="6"/>
        <v>0</v>
      </c>
      <c r="K29" s="6">
        <f t="shared" si="6"/>
        <v>0</v>
      </c>
      <c r="L29" s="86">
        <f>SUM(L21:L28)</f>
        <v>0</v>
      </c>
      <c r="S29" s="5"/>
      <c r="T29" s="5"/>
    </row>
    <row r="30" spans="1:20" ht="12" thickBot="1" x14ac:dyDescent="0.25">
      <c r="A30" s="130" t="s">
        <v>108</v>
      </c>
      <c r="B30" s="131">
        <f>+B12+B20+B29</f>
        <v>0</v>
      </c>
      <c r="C30" s="131">
        <f>+C12+C20+C29</f>
        <v>0</v>
      </c>
      <c r="D30" s="131">
        <f t="shared" ref="D30:F30" si="7">+D12+D20+D29</f>
        <v>0</v>
      </c>
      <c r="E30" s="131">
        <f>+E12+E20+E29</f>
        <v>0</v>
      </c>
      <c r="F30" s="131">
        <f t="shared" si="7"/>
        <v>0</v>
      </c>
      <c r="G30" s="131">
        <f t="shared" ref="G30:K30" si="8">+G12+G20+G29</f>
        <v>0</v>
      </c>
      <c r="H30" s="131">
        <f t="shared" si="8"/>
        <v>0</v>
      </c>
      <c r="I30" s="131">
        <f t="shared" si="8"/>
        <v>0</v>
      </c>
      <c r="J30" s="131">
        <f t="shared" si="8"/>
        <v>0</v>
      </c>
      <c r="K30" s="131">
        <f t="shared" si="8"/>
        <v>0</v>
      </c>
      <c r="L30" s="132">
        <f>+L12+L20+L29</f>
        <v>0</v>
      </c>
      <c r="S30" s="5"/>
      <c r="T30" s="5"/>
    </row>
    <row r="31" spans="1:20" x14ac:dyDescent="0.2">
      <c r="A31" s="77" t="s">
        <v>25</v>
      </c>
      <c r="B31" s="17"/>
      <c r="C31" s="17"/>
      <c r="D31" s="4"/>
      <c r="E31" s="4"/>
      <c r="F31" s="4"/>
      <c r="G31" s="4"/>
      <c r="H31" s="4"/>
      <c r="I31" s="4"/>
      <c r="J31" s="4"/>
      <c r="K31" s="4"/>
      <c r="L31" s="83"/>
      <c r="S31" s="5"/>
      <c r="T31" s="5"/>
    </row>
    <row r="32" spans="1:20" x14ac:dyDescent="0.2">
      <c r="A32" s="3" t="s">
        <v>62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83">
        <f>SUM(B32:K32)</f>
        <v>0</v>
      </c>
    </row>
    <row r="33" spans="1:20" x14ac:dyDescent="0.2">
      <c r="A33" s="3" t="s">
        <v>29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83">
        <f>SUM(B33:K33)</f>
        <v>0</v>
      </c>
    </row>
    <row r="34" spans="1:20" ht="12" thickBot="1" x14ac:dyDescent="0.25">
      <c r="A34" s="76" t="s">
        <v>26</v>
      </c>
      <c r="B34" s="6">
        <f>SUM(B31:B33)</f>
        <v>0</v>
      </c>
      <c r="C34" s="6">
        <f>SUM(C31:C33)</f>
        <v>0</v>
      </c>
      <c r="D34" s="6">
        <f>SUM(D31:D33)</f>
        <v>0</v>
      </c>
      <c r="E34" s="6">
        <f t="shared" ref="E34:K34" si="9">SUM(E31:E33)</f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86">
        <f>SUM(L31:L33)</f>
        <v>0</v>
      </c>
    </row>
    <row r="35" spans="1:20" x14ac:dyDescent="0.2">
      <c r="A35" s="77" t="s">
        <v>34</v>
      </c>
      <c r="B35" s="17"/>
      <c r="C35" s="17"/>
      <c r="D35" s="4"/>
      <c r="E35" s="4"/>
      <c r="F35" s="4"/>
      <c r="G35" s="4"/>
      <c r="H35" s="4"/>
      <c r="I35" s="4"/>
      <c r="J35" s="4"/>
      <c r="K35" s="4"/>
      <c r="L35" s="83"/>
    </row>
    <row r="36" spans="1:20" x14ac:dyDescent="0.2">
      <c r="A36" s="3" t="s">
        <v>10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83">
        <f>SUM(B36:K36)</f>
        <v>0</v>
      </c>
      <c r="S36" s="5"/>
      <c r="T36" s="5"/>
    </row>
    <row r="37" spans="1:20" x14ac:dyDescent="0.2">
      <c r="A37" s="3" t="s">
        <v>11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83">
        <f>SUM(B37:K37)</f>
        <v>0</v>
      </c>
      <c r="S37" s="5"/>
      <c r="T37" s="5"/>
    </row>
    <row r="38" spans="1:20" ht="12" thickBot="1" x14ac:dyDescent="0.25">
      <c r="A38" s="76" t="s">
        <v>12</v>
      </c>
      <c r="B38" s="6">
        <f>SUM(B35:B37)</f>
        <v>0</v>
      </c>
      <c r="C38" s="6">
        <f>SUM(C35:C37)</f>
        <v>0</v>
      </c>
      <c r="D38" s="6">
        <f>SUM(D35:D37)</f>
        <v>0</v>
      </c>
      <c r="E38" s="6">
        <f t="shared" ref="E38:K38" si="10">SUM(E35:E37)</f>
        <v>0</v>
      </c>
      <c r="F38" s="6">
        <f t="shared" si="10"/>
        <v>0</v>
      </c>
      <c r="G38" s="6">
        <f t="shared" si="10"/>
        <v>0</v>
      </c>
      <c r="H38" s="6">
        <f t="shared" si="10"/>
        <v>0</v>
      </c>
      <c r="I38" s="6">
        <f t="shared" si="10"/>
        <v>0</v>
      </c>
      <c r="J38" s="6">
        <f t="shared" si="10"/>
        <v>0</v>
      </c>
      <c r="K38" s="6">
        <f t="shared" si="10"/>
        <v>0</v>
      </c>
      <c r="L38" s="86">
        <f>SUM(L35:L37)</f>
        <v>0</v>
      </c>
      <c r="S38" s="5"/>
      <c r="T38" s="5"/>
    </row>
    <row r="39" spans="1:20" x14ac:dyDescent="0.2">
      <c r="A39" s="77" t="s">
        <v>27</v>
      </c>
      <c r="B39" s="17"/>
      <c r="C39" s="17"/>
      <c r="D39" s="4"/>
      <c r="E39" s="4"/>
      <c r="F39" s="4"/>
      <c r="G39" s="4"/>
      <c r="H39" s="4"/>
      <c r="I39" s="4"/>
      <c r="J39" s="4"/>
      <c r="K39" s="4"/>
      <c r="L39" s="83"/>
      <c r="S39" s="5"/>
      <c r="T39" s="5"/>
    </row>
    <row r="40" spans="1:20" x14ac:dyDescent="0.2">
      <c r="A40" s="3" t="s">
        <v>75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83">
        <f>SUM(B40:K40)</f>
        <v>0</v>
      </c>
      <c r="S40" s="5"/>
      <c r="T40" s="5"/>
    </row>
    <row r="41" spans="1:20" x14ac:dyDescent="0.2">
      <c r="A41" s="3" t="s">
        <v>42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83">
        <f t="shared" ref="L41:L44" si="11">SUM(B41:K41)</f>
        <v>0</v>
      </c>
      <c r="S41" s="5"/>
      <c r="T41" s="5"/>
    </row>
    <row r="42" spans="1:20" x14ac:dyDescent="0.2">
      <c r="A42" s="3" t="s">
        <v>34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83">
        <f t="shared" si="11"/>
        <v>0</v>
      </c>
    </row>
    <row r="43" spans="1:20" x14ac:dyDescent="0.2">
      <c r="A43" s="3" t="s">
        <v>43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83">
        <f t="shared" si="11"/>
        <v>0</v>
      </c>
    </row>
    <row r="44" spans="1:20" x14ac:dyDescent="0.2">
      <c r="A44" s="3" t="s">
        <v>29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83">
        <f t="shared" si="11"/>
        <v>0</v>
      </c>
    </row>
    <row r="45" spans="1:20" ht="12" thickBot="1" x14ac:dyDescent="0.25">
      <c r="A45" s="76" t="s">
        <v>28</v>
      </c>
      <c r="B45" s="6">
        <f>SUM(B39:B44)</f>
        <v>0</v>
      </c>
      <c r="C45" s="6">
        <f>SUM(C39:C44)</f>
        <v>0</v>
      </c>
      <c r="D45" s="6">
        <f>SUM(D39:D44)</f>
        <v>0</v>
      </c>
      <c r="E45" s="6">
        <f t="shared" ref="E45:K45" si="12">SUM(E39:E44)</f>
        <v>0</v>
      </c>
      <c r="F45" s="6">
        <f t="shared" si="12"/>
        <v>0</v>
      </c>
      <c r="G45" s="6">
        <f t="shared" si="12"/>
        <v>0</v>
      </c>
      <c r="H45" s="6">
        <f t="shared" si="12"/>
        <v>0</v>
      </c>
      <c r="I45" s="6">
        <f t="shared" si="12"/>
        <v>0</v>
      </c>
      <c r="J45" s="6">
        <f t="shared" si="12"/>
        <v>0</v>
      </c>
      <c r="K45" s="6">
        <f t="shared" si="12"/>
        <v>0</v>
      </c>
      <c r="L45" s="86">
        <f>SUM(L39:L44)</f>
        <v>0</v>
      </c>
    </row>
    <row r="46" spans="1:20" x14ac:dyDescent="0.2">
      <c r="A46" s="77" t="s">
        <v>13</v>
      </c>
      <c r="B46" s="17"/>
      <c r="C46" s="17"/>
      <c r="D46" s="4"/>
      <c r="E46" s="4"/>
      <c r="F46" s="4"/>
      <c r="G46" s="4"/>
      <c r="H46" s="4"/>
      <c r="I46" s="4"/>
      <c r="J46" s="4"/>
      <c r="K46" s="4"/>
      <c r="L46" s="83"/>
    </row>
    <row r="47" spans="1:20" x14ac:dyDescent="0.2">
      <c r="A47" s="3" t="s">
        <v>14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83">
        <f>SUM(B47:K47)</f>
        <v>0</v>
      </c>
    </row>
    <row r="48" spans="1:20" x14ac:dyDescent="0.2">
      <c r="A48" s="3" t="s">
        <v>76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83">
        <f t="shared" ref="L48:L53" si="13">SUM(B48:K48)</f>
        <v>0</v>
      </c>
    </row>
    <row r="49" spans="1:20" x14ac:dyDescent="0.2">
      <c r="A49" s="3" t="s">
        <v>15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83">
        <f t="shared" si="13"/>
        <v>0</v>
      </c>
    </row>
    <row r="50" spans="1:20" x14ac:dyDescent="0.2">
      <c r="A50" s="3" t="s">
        <v>77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83">
        <f t="shared" si="13"/>
        <v>0</v>
      </c>
    </row>
    <row r="51" spans="1:20" x14ac:dyDescent="0.2">
      <c r="A51" s="3" t="s">
        <v>41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83">
        <f t="shared" si="13"/>
        <v>0</v>
      </c>
    </row>
    <row r="52" spans="1:20" x14ac:dyDescent="0.2">
      <c r="A52" s="3" t="s">
        <v>78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83">
        <f t="shared" si="13"/>
        <v>0</v>
      </c>
    </row>
    <row r="53" spans="1:20" x14ac:dyDescent="0.2">
      <c r="A53" s="3" t="s">
        <v>29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83">
        <f t="shared" si="13"/>
        <v>0</v>
      </c>
    </row>
    <row r="54" spans="1:20" ht="12" thickBot="1" x14ac:dyDescent="0.25">
      <c r="A54" s="76" t="s">
        <v>80</v>
      </c>
      <c r="B54" s="6">
        <f t="shared" ref="B54:L54" si="14">SUM(B46:B53)</f>
        <v>0</v>
      </c>
      <c r="C54" s="6">
        <f t="shared" si="14"/>
        <v>0</v>
      </c>
      <c r="D54" s="6">
        <f t="shared" si="14"/>
        <v>0</v>
      </c>
      <c r="E54" s="6">
        <f t="shared" si="14"/>
        <v>0</v>
      </c>
      <c r="F54" s="6">
        <f t="shared" si="14"/>
        <v>0</v>
      </c>
      <c r="G54" s="6">
        <f t="shared" ref="G54:K54" si="15">SUM(G46:G53)</f>
        <v>0</v>
      </c>
      <c r="H54" s="6">
        <f t="shared" si="15"/>
        <v>0</v>
      </c>
      <c r="I54" s="6">
        <f t="shared" si="15"/>
        <v>0</v>
      </c>
      <c r="J54" s="6">
        <f t="shared" si="15"/>
        <v>0</v>
      </c>
      <c r="K54" s="6">
        <f t="shared" si="15"/>
        <v>0</v>
      </c>
      <c r="L54" s="86">
        <f t="shared" si="14"/>
        <v>0</v>
      </c>
      <c r="P54" s="1"/>
      <c r="S54" s="5"/>
      <c r="T54" s="5"/>
    </row>
    <row r="55" spans="1:20" ht="12" thickBot="1" x14ac:dyDescent="0.25">
      <c r="A55" s="98" t="s">
        <v>16</v>
      </c>
      <c r="B55" s="96">
        <f>SUM(+B12+B20+B29+B34+B38+B45+B54)</f>
        <v>0</v>
      </c>
      <c r="C55" s="96">
        <f t="shared" ref="C55:E55" si="16">SUM(+C12+C20+C29+C34+C38+C45+C54)</f>
        <v>0</v>
      </c>
      <c r="D55" s="96">
        <f t="shared" si="16"/>
        <v>0</v>
      </c>
      <c r="E55" s="96">
        <f t="shared" si="16"/>
        <v>0</v>
      </c>
      <c r="F55" s="96">
        <f>SUM(+F12+F20+F29+F34+F38+F45+F54)</f>
        <v>0</v>
      </c>
      <c r="G55" s="96">
        <f t="shared" ref="G55:K55" si="17">SUM(+G12+G20+G29+G34+G38+G45+G54)</f>
        <v>0</v>
      </c>
      <c r="H55" s="96">
        <f t="shared" si="17"/>
        <v>0</v>
      </c>
      <c r="I55" s="96">
        <f t="shared" si="17"/>
        <v>0</v>
      </c>
      <c r="J55" s="96">
        <f t="shared" si="17"/>
        <v>0</v>
      </c>
      <c r="K55" s="96">
        <f t="shared" si="17"/>
        <v>0</v>
      </c>
      <c r="L55" s="97">
        <f>SUM(+L12+L20+L29+L34+L38+L45+L54)</f>
        <v>0</v>
      </c>
      <c r="S55" s="5"/>
      <c r="T55" s="5"/>
    </row>
    <row r="56" spans="1:20" ht="12" thickBot="1" x14ac:dyDescent="0.25">
      <c r="A56" s="71" t="s">
        <v>18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81">
        <f>SUM(B56:K56)</f>
        <v>0</v>
      </c>
      <c r="S56" s="5"/>
      <c r="T56" s="5"/>
    </row>
    <row r="57" spans="1:20" ht="12" thickBot="1" x14ac:dyDescent="0.25">
      <c r="A57" s="79" t="s">
        <v>19</v>
      </c>
      <c r="B57" s="80">
        <f>+B55+B56</f>
        <v>0</v>
      </c>
      <c r="C57" s="80">
        <f t="shared" ref="C57:F57" si="18">+C55+C56</f>
        <v>0</v>
      </c>
      <c r="D57" s="80">
        <f t="shared" si="18"/>
        <v>0</v>
      </c>
      <c r="E57" s="80">
        <f t="shared" si="18"/>
        <v>0</v>
      </c>
      <c r="F57" s="80">
        <f t="shared" si="18"/>
        <v>0</v>
      </c>
      <c r="G57" s="80">
        <f t="shared" ref="G57:K57" si="19">+G55+G56</f>
        <v>0</v>
      </c>
      <c r="H57" s="80">
        <f t="shared" si="19"/>
        <v>0</v>
      </c>
      <c r="I57" s="80">
        <f t="shared" si="19"/>
        <v>0</v>
      </c>
      <c r="J57" s="80">
        <f t="shared" si="19"/>
        <v>0</v>
      </c>
      <c r="K57" s="80">
        <f t="shared" si="19"/>
        <v>0</v>
      </c>
      <c r="L57" s="81">
        <f>SUM(B57:K57)</f>
        <v>0</v>
      </c>
      <c r="S57" s="5"/>
      <c r="T57" s="5"/>
    </row>
    <row r="58" spans="1:20" x14ac:dyDescent="0.2">
      <c r="A58" s="7"/>
      <c r="B58" s="4"/>
      <c r="C58" s="4"/>
      <c r="D58" s="4"/>
      <c r="E58" s="4"/>
      <c r="F58" s="4"/>
      <c r="G58" s="4"/>
      <c r="H58" s="4"/>
      <c r="I58" s="4"/>
      <c r="J58" s="4"/>
      <c r="K58" s="4"/>
      <c r="Q58" s="4"/>
      <c r="S58" s="5"/>
      <c r="T58" s="5"/>
    </row>
    <row r="59" spans="1:20" x14ac:dyDescent="0.2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N59" s="18"/>
      <c r="O59" s="4"/>
      <c r="P59" s="18"/>
      <c r="Q59" s="18"/>
      <c r="R59" s="18"/>
      <c r="S59" s="5"/>
      <c r="T59" s="5"/>
    </row>
    <row r="60" spans="1:20" x14ac:dyDescent="0.2">
      <c r="A60" s="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N60" s="18"/>
      <c r="O60" s="4"/>
      <c r="P60" s="18"/>
      <c r="Q60" s="18"/>
      <c r="R60" s="18"/>
      <c r="S60" s="5"/>
      <c r="T60" s="5"/>
    </row>
    <row r="61" spans="1:20" ht="12" thickBot="1" x14ac:dyDescent="0.25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2"/>
      <c r="N61" s="12"/>
      <c r="O61" s="12"/>
      <c r="P61" s="4"/>
    </row>
    <row r="63" spans="1:20" x14ac:dyDescent="0.2">
      <c r="A63" s="1" t="s">
        <v>37</v>
      </c>
      <c r="B63" s="84">
        <f>IF(B57&lt;25000,B57,25000)</f>
        <v>0</v>
      </c>
      <c r="C63" s="84">
        <f>IF(+B57&gt;25000,0,IF(B57+C57&gt;25000,(25000-B57),C57))</f>
        <v>0</v>
      </c>
      <c r="D63" s="84">
        <f>IF(+B57+C57&gt;25000,0,IF(B57+C57+D57&gt;25000,(25000-(B57+C57)),D57))</f>
        <v>0</v>
      </c>
      <c r="E63" s="84">
        <f>IF(B57+C57+D57&gt;25000,0,IF(B57+C57+D57+E57&gt;25000,(25000-(B57+C57+D57)),E57))</f>
        <v>0</v>
      </c>
      <c r="F63" s="84">
        <f>IF(B57+C57+D57+E57&gt;25000,0,IF(B57+C57+D57+E57+F57&gt;25000,(25000-(B57+C57+D57+E57)),F57))</f>
        <v>0</v>
      </c>
      <c r="G63" s="84">
        <f t="shared" ref="G63:K63" si="20">IF(C57+D57+E57+F57&gt;25000,0,IF(C57+D57+E57+F57+G57&gt;25000,(25000-(C57+D57+E57+F57)),G57))</f>
        <v>0</v>
      </c>
      <c r="H63" s="84">
        <f t="shared" si="20"/>
        <v>0</v>
      </c>
      <c r="I63" s="84">
        <f t="shared" si="20"/>
        <v>0</v>
      </c>
      <c r="J63" s="84">
        <f t="shared" si="20"/>
        <v>0</v>
      </c>
      <c r="K63" s="84">
        <f t="shared" si="20"/>
        <v>0</v>
      </c>
      <c r="L63" s="17">
        <f>SUM(B63:K63)</f>
        <v>0</v>
      </c>
      <c r="M63" s="17"/>
      <c r="N63" s="1"/>
    </row>
    <row r="64" spans="1:20" x14ac:dyDescent="0.2">
      <c r="A64" s="1" t="s">
        <v>38</v>
      </c>
      <c r="B64" s="84">
        <f>+B57-B63</f>
        <v>0</v>
      </c>
      <c r="C64" s="84">
        <f>+C57-C63</f>
        <v>0</v>
      </c>
      <c r="D64" s="84">
        <f>+D57-D63</f>
        <v>0</v>
      </c>
      <c r="E64" s="84">
        <f>+E57-E63</f>
        <v>0</v>
      </c>
      <c r="F64" s="84">
        <f>+F57-F63</f>
        <v>0</v>
      </c>
      <c r="G64" s="84">
        <f t="shared" ref="G64:K64" si="21">+G57-G63</f>
        <v>0</v>
      </c>
      <c r="H64" s="84">
        <f t="shared" si="21"/>
        <v>0</v>
      </c>
      <c r="I64" s="84">
        <f t="shared" si="21"/>
        <v>0</v>
      </c>
      <c r="J64" s="84">
        <f t="shared" si="21"/>
        <v>0</v>
      </c>
      <c r="K64" s="84">
        <f t="shared" si="21"/>
        <v>0</v>
      </c>
      <c r="L64" s="17">
        <f>SUM(B64:K64)</f>
        <v>0</v>
      </c>
      <c r="M64" s="17"/>
      <c r="N64" s="1"/>
    </row>
    <row r="65" spans="2:12" x14ac:dyDescent="0.2">
      <c r="C65" s="5"/>
      <c r="L65" s="17"/>
    </row>
    <row r="66" spans="2:12" x14ac:dyDescent="0.2">
      <c r="B66" s="5">
        <f>SUM(B63:B64)</f>
        <v>0</v>
      </c>
      <c r="C66" s="5">
        <f>SUM(C63:C64)</f>
        <v>0</v>
      </c>
      <c r="D66" s="5">
        <f t="shared" ref="D66:F66" si="22">SUM(D63:D64)</f>
        <v>0</v>
      </c>
      <c r="E66" s="5">
        <f t="shared" si="22"/>
        <v>0</v>
      </c>
      <c r="F66" s="5">
        <f t="shared" si="22"/>
        <v>0</v>
      </c>
      <c r="G66" s="5">
        <f t="shared" ref="G66:K66" si="23">SUM(G63:G64)</f>
        <v>0</v>
      </c>
      <c r="H66" s="5">
        <f t="shared" si="23"/>
        <v>0</v>
      </c>
      <c r="I66" s="5">
        <f t="shared" si="23"/>
        <v>0</v>
      </c>
      <c r="J66" s="5">
        <f t="shared" si="23"/>
        <v>0</v>
      </c>
      <c r="K66" s="5">
        <f t="shared" si="23"/>
        <v>0</v>
      </c>
      <c r="L66" s="17">
        <f>SUM(B66:K66)</f>
        <v>0</v>
      </c>
    </row>
  </sheetData>
  <pageMargins left="0.75" right="0.53" top="0.7" bottom="0.64" header="0.5" footer="0.5"/>
  <pageSetup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T66"/>
  <sheetViews>
    <sheetView zoomScale="130" zoomScaleNormal="130" workbookViewId="0"/>
  </sheetViews>
  <sheetFormatPr defaultColWidth="9.140625" defaultRowHeight="11.25" x14ac:dyDescent="0.2"/>
  <cols>
    <col min="1" max="1" width="33.42578125" style="1" customWidth="1"/>
    <col min="2" max="11" width="8.42578125" style="1" customWidth="1"/>
    <col min="12" max="12" width="9.5703125" style="2" bestFit="1" customWidth="1"/>
    <col min="13" max="13" width="9.7109375" style="2" customWidth="1"/>
    <col min="14" max="14" width="18.5703125" style="2" bestFit="1" customWidth="1"/>
    <col min="15" max="15" width="6.85546875" style="2" bestFit="1" customWidth="1"/>
    <col min="16" max="16" width="9.85546875" style="2" customWidth="1"/>
    <col min="17" max="18" width="9.7109375" style="1" customWidth="1"/>
    <col min="19" max="16384" width="9.140625" style="1"/>
  </cols>
  <sheetData>
    <row r="1" spans="1:19" ht="12.75" x14ac:dyDescent="0.2">
      <c r="A1" s="67">
        <f>+'Lead Budget'!A1</f>
        <v>0</v>
      </c>
    </row>
    <row r="2" spans="1:19" ht="12.75" x14ac:dyDescent="0.2">
      <c r="A2" s="67" t="str">
        <f>+'Lead Budget'!A2</f>
        <v>NSF</v>
      </c>
    </row>
    <row r="3" spans="1:19" ht="12.75" customHeight="1" thickBot="1" x14ac:dyDescent="0.25"/>
    <row r="4" spans="1:19" x14ac:dyDescent="0.2">
      <c r="A4" s="68"/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69"/>
    </row>
    <row r="5" spans="1:19" ht="12" thickBot="1" x14ac:dyDescent="0.25">
      <c r="A5" s="68" t="str">
        <f ca="1">""&amp;MID('rates, dates, etc'!AR11,FIND("]",'rates, dates, etc'!AR11)+1,25)</f>
        <v>Consortium 4</v>
      </c>
      <c r="B5" s="70">
        <f>+'Lead Budget'!B5</f>
        <v>45658</v>
      </c>
      <c r="C5" s="70">
        <f>+'Lead Budget'!C5</f>
        <v>46023</v>
      </c>
      <c r="D5" s="70">
        <f>+'Lead Budget'!D5</f>
        <v>46388</v>
      </c>
      <c r="E5" s="70">
        <f>+'Lead Budget'!E5</f>
        <v>46753</v>
      </c>
      <c r="F5" s="70">
        <f>+'Lead Budget'!F5</f>
        <v>47119</v>
      </c>
      <c r="G5" s="70">
        <f>+'Lead Budget'!G5</f>
        <v>47484</v>
      </c>
      <c r="H5" s="70">
        <f>+'Lead Budget'!H5</f>
        <v>47849</v>
      </c>
      <c r="I5" s="70">
        <f>+'Lead Budget'!I5</f>
        <v>48214</v>
      </c>
      <c r="J5" s="70">
        <f>+'Lead Budget'!J5</f>
        <v>48580</v>
      </c>
      <c r="K5" s="70">
        <f>+'Lead Budget'!K5</f>
        <v>48945</v>
      </c>
      <c r="L5" s="85"/>
    </row>
    <row r="6" spans="1:19" ht="12" thickBot="1" x14ac:dyDescent="0.25">
      <c r="A6" s="71" t="s">
        <v>4</v>
      </c>
      <c r="B6" s="88">
        <f>+'Lead Budget'!B6</f>
        <v>46022</v>
      </c>
      <c r="C6" s="72">
        <f>+'Lead Budget'!C6</f>
        <v>46387</v>
      </c>
      <c r="D6" s="72">
        <f>+'Lead Budget'!D6</f>
        <v>46752</v>
      </c>
      <c r="E6" s="72">
        <f>+'Lead Budget'!E6</f>
        <v>47118</v>
      </c>
      <c r="F6" s="72">
        <f>+'Lead Budget'!F6</f>
        <v>47483</v>
      </c>
      <c r="G6" s="72">
        <f>+'Lead Budget'!G6</f>
        <v>47848</v>
      </c>
      <c r="H6" s="72">
        <f>+'Lead Budget'!H6</f>
        <v>48213</v>
      </c>
      <c r="I6" s="72">
        <f>+'Lead Budget'!I6</f>
        <v>48579</v>
      </c>
      <c r="J6" s="72">
        <f>+'Lead Budget'!J6</f>
        <v>48944</v>
      </c>
      <c r="K6" s="72">
        <f>+'Lead Budget'!K6</f>
        <v>49309</v>
      </c>
      <c r="L6" s="73" t="s">
        <v>5</v>
      </c>
    </row>
    <row r="7" spans="1:19" x14ac:dyDescent="0.2">
      <c r="A7" s="74" t="s">
        <v>111</v>
      </c>
      <c r="B7" s="17"/>
      <c r="C7" s="17"/>
      <c r="D7" s="4"/>
      <c r="E7" s="4"/>
      <c r="F7" s="4"/>
      <c r="G7" s="4"/>
      <c r="H7" s="4"/>
      <c r="I7" s="4"/>
      <c r="J7" s="4"/>
      <c r="K7" s="4"/>
      <c r="L7" s="83" t="s">
        <v>6</v>
      </c>
    </row>
    <row r="8" spans="1:19" x14ac:dyDescent="0.2">
      <c r="A8" s="3" t="s">
        <v>65</v>
      </c>
      <c r="B8" s="342">
        <v>0</v>
      </c>
      <c r="C8" s="342">
        <v>0</v>
      </c>
      <c r="D8" s="342">
        <v>0</v>
      </c>
      <c r="E8" s="342">
        <v>0</v>
      </c>
      <c r="F8" s="342">
        <v>0</v>
      </c>
      <c r="G8" s="342">
        <v>0</v>
      </c>
      <c r="H8" s="342">
        <v>0</v>
      </c>
      <c r="I8" s="342">
        <v>0</v>
      </c>
      <c r="J8" s="342">
        <v>0</v>
      </c>
      <c r="K8" s="342">
        <v>0</v>
      </c>
      <c r="L8" s="83">
        <f>SUM(B8:K8)</f>
        <v>0</v>
      </c>
      <c r="S8" s="5"/>
    </row>
    <row r="9" spans="1:19" x14ac:dyDescent="0.2">
      <c r="A9" s="3" t="s">
        <v>57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83">
        <f>SUM(B9:K9)</f>
        <v>0</v>
      </c>
    </row>
    <row r="10" spans="1:19" x14ac:dyDescent="0.2">
      <c r="A10" s="3" t="s">
        <v>195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83">
        <f t="shared" ref="L10:L11" si="0">SUM(B10:K10)</f>
        <v>0</v>
      </c>
    </row>
    <row r="11" spans="1:19" x14ac:dyDescent="0.2">
      <c r="A11" s="3" t="s">
        <v>196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83">
        <f t="shared" si="0"/>
        <v>0</v>
      </c>
    </row>
    <row r="12" spans="1:19" ht="12" thickBot="1" x14ac:dyDescent="0.25">
      <c r="A12" s="76" t="str">
        <f>CONCATENATE("Total ",A7)</f>
        <v>Total Senior Personnel Salary</v>
      </c>
      <c r="B12" s="6">
        <f>SUM(B7:B11)</f>
        <v>0</v>
      </c>
      <c r="C12" s="6">
        <f t="shared" ref="C12:K12" si="1">SUM(C7:C11)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86">
        <f>SUM(L7:L11)</f>
        <v>0</v>
      </c>
    </row>
    <row r="13" spans="1:19" x14ac:dyDescent="0.2">
      <c r="A13" s="75" t="s">
        <v>112</v>
      </c>
      <c r="B13" s="17"/>
      <c r="C13" s="17"/>
      <c r="D13" s="4"/>
      <c r="E13" s="4"/>
      <c r="F13" s="4"/>
      <c r="G13" s="4"/>
      <c r="H13" s="4"/>
      <c r="I13" s="4"/>
      <c r="J13" s="4"/>
      <c r="K13" s="4"/>
      <c r="L13" s="83"/>
    </row>
    <row r="14" spans="1:19" x14ac:dyDescent="0.2">
      <c r="A14" s="3" t="s">
        <v>72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83">
        <f>SUM(B14:K14)</f>
        <v>0</v>
      </c>
    </row>
    <row r="15" spans="1:19" x14ac:dyDescent="0.2">
      <c r="A15" s="3" t="s">
        <v>70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83">
        <f t="shared" ref="L15:L19" si="2">SUM(B15:K15)</f>
        <v>0</v>
      </c>
    </row>
    <row r="16" spans="1:19" x14ac:dyDescent="0.2">
      <c r="A16" s="3" t="s">
        <v>73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83">
        <f t="shared" si="2"/>
        <v>0</v>
      </c>
    </row>
    <row r="17" spans="1:20" x14ac:dyDescent="0.2">
      <c r="A17" s="3" t="s">
        <v>74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83">
        <f t="shared" si="2"/>
        <v>0</v>
      </c>
    </row>
    <row r="18" spans="1:20" x14ac:dyDescent="0.2">
      <c r="A18" s="3" t="s">
        <v>29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83">
        <f t="shared" si="2"/>
        <v>0</v>
      </c>
    </row>
    <row r="19" spans="1:20" x14ac:dyDescent="0.2">
      <c r="A19" s="3" t="s">
        <v>197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83">
        <f t="shared" si="2"/>
        <v>0</v>
      </c>
      <c r="S19" s="5"/>
      <c r="T19" s="5"/>
    </row>
    <row r="20" spans="1:20" ht="12" thickBot="1" x14ac:dyDescent="0.25">
      <c r="A20" s="76" t="str">
        <f>CONCATENATE("Total ",A13)</f>
        <v>Total Other Personnel Salary</v>
      </c>
      <c r="B20" s="6">
        <f>SUM(B13:B19)</f>
        <v>0</v>
      </c>
      <c r="C20" s="6">
        <f t="shared" ref="C20:K20" si="3">SUM(C13:C19)</f>
        <v>0</v>
      </c>
      <c r="D20" s="6">
        <f>SUM(D13:D19)</f>
        <v>0</v>
      </c>
      <c r="E20" s="6">
        <f>SUM(E13:E19)</f>
        <v>0</v>
      </c>
      <c r="F20" s="6">
        <f t="shared" si="3"/>
        <v>0</v>
      </c>
      <c r="G20" s="6">
        <f t="shared" si="3"/>
        <v>0</v>
      </c>
      <c r="H20" s="6">
        <f t="shared" si="3"/>
        <v>0</v>
      </c>
      <c r="I20" s="6">
        <f t="shared" si="3"/>
        <v>0</v>
      </c>
      <c r="J20" s="6">
        <f t="shared" si="3"/>
        <v>0</v>
      </c>
      <c r="K20" s="6">
        <f t="shared" si="3"/>
        <v>0</v>
      </c>
      <c r="L20" s="86">
        <f>SUM(L13:L19)</f>
        <v>0</v>
      </c>
    </row>
    <row r="21" spans="1:20" x14ac:dyDescent="0.2">
      <c r="A21" s="77" t="s">
        <v>7</v>
      </c>
      <c r="B21" s="17" t="s">
        <v>6</v>
      </c>
      <c r="C21" s="17"/>
      <c r="D21" s="4"/>
      <c r="E21" s="4"/>
      <c r="F21" s="4"/>
      <c r="G21" s="4"/>
      <c r="H21" s="4"/>
      <c r="I21" s="4"/>
      <c r="J21" s="4"/>
      <c r="K21" s="4"/>
      <c r="L21" s="83"/>
    </row>
    <row r="22" spans="1:20" x14ac:dyDescent="0.2">
      <c r="A22" s="3" t="str">
        <f>+A8</f>
        <v>PI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83">
        <f>SUM(B22:K22)</f>
        <v>0</v>
      </c>
    </row>
    <row r="23" spans="1:20" x14ac:dyDescent="0.2">
      <c r="A23" s="3" t="str">
        <f>+A9</f>
        <v>Co-PI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83">
        <f t="shared" ref="L23:L28" si="4">SUM(B23:K23)</f>
        <v>0</v>
      </c>
    </row>
    <row r="24" spans="1:20" x14ac:dyDescent="0.2">
      <c r="A24" s="3" t="s">
        <v>195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83">
        <f t="shared" si="4"/>
        <v>0</v>
      </c>
    </row>
    <row r="25" spans="1:20" x14ac:dyDescent="0.2">
      <c r="A25" s="3" t="s">
        <v>196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83">
        <f t="shared" si="4"/>
        <v>0</v>
      </c>
    </row>
    <row r="26" spans="1:20" x14ac:dyDescent="0.2">
      <c r="A26" s="3" t="s">
        <v>72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83">
        <f t="shared" si="4"/>
        <v>0</v>
      </c>
    </row>
    <row r="27" spans="1:20" x14ac:dyDescent="0.2">
      <c r="A27" s="3" t="s">
        <v>74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83">
        <f t="shared" si="4"/>
        <v>0</v>
      </c>
      <c r="S27" s="5"/>
      <c r="T27" s="5"/>
    </row>
    <row r="28" spans="1:20" x14ac:dyDescent="0.2">
      <c r="A28" s="3" t="s">
        <v>29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83">
        <f t="shared" si="4"/>
        <v>0</v>
      </c>
      <c r="S28" s="5"/>
      <c r="T28" s="5"/>
    </row>
    <row r="29" spans="1:20" ht="12" thickBot="1" x14ac:dyDescent="0.25">
      <c r="A29" s="76" t="s">
        <v>79</v>
      </c>
      <c r="B29" s="6">
        <f>SUM(B21:B28)</f>
        <v>0</v>
      </c>
      <c r="C29" s="6">
        <f>SUM(C21:C28)</f>
        <v>0</v>
      </c>
      <c r="D29" s="6">
        <f>SUM(D21:D28)</f>
        <v>0</v>
      </c>
      <c r="E29" s="6">
        <f t="shared" ref="E29:F29" si="5">SUM(E21:E28)</f>
        <v>0</v>
      </c>
      <c r="F29" s="6">
        <f t="shared" si="5"/>
        <v>0</v>
      </c>
      <c r="G29" s="6">
        <f t="shared" ref="G29:K29" si="6">SUM(G21:G28)</f>
        <v>0</v>
      </c>
      <c r="H29" s="6">
        <f t="shared" si="6"/>
        <v>0</v>
      </c>
      <c r="I29" s="6">
        <f t="shared" si="6"/>
        <v>0</v>
      </c>
      <c r="J29" s="6">
        <f t="shared" si="6"/>
        <v>0</v>
      </c>
      <c r="K29" s="6">
        <f t="shared" si="6"/>
        <v>0</v>
      </c>
      <c r="L29" s="86">
        <f>SUM(L21:L28)</f>
        <v>0</v>
      </c>
      <c r="S29" s="5"/>
      <c r="T29" s="5"/>
    </row>
    <row r="30" spans="1:20" ht="12" thickBot="1" x14ac:dyDescent="0.25">
      <c r="A30" s="130" t="s">
        <v>108</v>
      </c>
      <c r="B30" s="131">
        <f>+B12+B20+B29</f>
        <v>0</v>
      </c>
      <c r="C30" s="131">
        <f>+C12+C20+C29</f>
        <v>0</v>
      </c>
      <c r="D30" s="131">
        <f t="shared" ref="D30:F30" si="7">+D12+D20+D29</f>
        <v>0</v>
      </c>
      <c r="E30" s="131">
        <f t="shared" si="7"/>
        <v>0</v>
      </c>
      <c r="F30" s="131">
        <f t="shared" si="7"/>
        <v>0</v>
      </c>
      <c r="G30" s="131">
        <f t="shared" ref="G30:K30" si="8">+G12+G20+G29</f>
        <v>0</v>
      </c>
      <c r="H30" s="131">
        <f t="shared" si="8"/>
        <v>0</v>
      </c>
      <c r="I30" s="131">
        <f t="shared" si="8"/>
        <v>0</v>
      </c>
      <c r="J30" s="131">
        <f t="shared" si="8"/>
        <v>0</v>
      </c>
      <c r="K30" s="131">
        <f t="shared" si="8"/>
        <v>0</v>
      </c>
      <c r="L30" s="132">
        <f>+L12+L20+L29</f>
        <v>0</v>
      </c>
      <c r="S30" s="5"/>
      <c r="T30" s="5"/>
    </row>
    <row r="31" spans="1:20" x14ac:dyDescent="0.2">
      <c r="A31" s="77" t="s">
        <v>25</v>
      </c>
      <c r="B31" s="17"/>
      <c r="C31" s="17"/>
      <c r="D31" s="4"/>
      <c r="E31" s="4"/>
      <c r="F31" s="4"/>
      <c r="G31" s="4"/>
      <c r="H31" s="4"/>
      <c r="I31" s="4"/>
      <c r="J31" s="4"/>
      <c r="K31" s="4"/>
      <c r="L31" s="83"/>
      <c r="S31" s="5"/>
      <c r="T31" s="5"/>
    </row>
    <row r="32" spans="1:20" x14ac:dyDescent="0.2">
      <c r="A32" s="3" t="s">
        <v>62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83">
        <f>SUM(B32:K32)</f>
        <v>0</v>
      </c>
    </row>
    <row r="33" spans="1:20" x14ac:dyDescent="0.2">
      <c r="A33" s="3" t="s">
        <v>29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83">
        <f>SUM(B33:K33)</f>
        <v>0</v>
      </c>
    </row>
    <row r="34" spans="1:20" ht="12" thickBot="1" x14ac:dyDescent="0.25">
      <c r="A34" s="76" t="s">
        <v>26</v>
      </c>
      <c r="B34" s="6">
        <f>SUM(B31:B33)</f>
        <v>0</v>
      </c>
      <c r="C34" s="6">
        <f>SUM(C31:C33)</f>
        <v>0</v>
      </c>
      <c r="D34" s="6">
        <f>SUM(D31:D33)</f>
        <v>0</v>
      </c>
      <c r="E34" s="6">
        <f t="shared" ref="E34:K34" si="9">SUM(E31:E33)</f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86">
        <f>SUM(L31:L33)</f>
        <v>0</v>
      </c>
    </row>
    <row r="35" spans="1:20" x14ac:dyDescent="0.2">
      <c r="A35" s="77" t="s">
        <v>34</v>
      </c>
      <c r="B35" s="17"/>
      <c r="C35" s="17"/>
      <c r="D35" s="4"/>
      <c r="E35" s="4"/>
      <c r="F35" s="4"/>
      <c r="G35" s="4"/>
      <c r="H35" s="4"/>
      <c r="I35" s="4"/>
      <c r="J35" s="4"/>
      <c r="K35" s="4"/>
      <c r="L35" s="83"/>
    </row>
    <row r="36" spans="1:20" x14ac:dyDescent="0.2">
      <c r="A36" s="3" t="s">
        <v>10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83">
        <f>SUM(B36:K36)</f>
        <v>0</v>
      </c>
      <c r="S36" s="5"/>
      <c r="T36" s="5"/>
    </row>
    <row r="37" spans="1:20" x14ac:dyDescent="0.2">
      <c r="A37" s="3" t="s">
        <v>11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83">
        <f>SUM(B37:K37)</f>
        <v>0</v>
      </c>
      <c r="S37" s="5"/>
      <c r="T37" s="5"/>
    </row>
    <row r="38" spans="1:20" ht="12" thickBot="1" x14ac:dyDescent="0.25">
      <c r="A38" s="76" t="s">
        <v>12</v>
      </c>
      <c r="B38" s="6">
        <f>SUM(B35:B37)</f>
        <v>0</v>
      </c>
      <c r="C38" s="6">
        <f>SUM(C35:C37)</f>
        <v>0</v>
      </c>
      <c r="D38" s="6">
        <f>SUM(D35:D37)</f>
        <v>0</v>
      </c>
      <c r="E38" s="6">
        <f t="shared" ref="E38:K38" si="10">SUM(E35:E37)</f>
        <v>0</v>
      </c>
      <c r="F38" s="6">
        <f t="shared" si="10"/>
        <v>0</v>
      </c>
      <c r="G38" s="6">
        <f t="shared" si="10"/>
        <v>0</v>
      </c>
      <c r="H38" s="6">
        <f t="shared" si="10"/>
        <v>0</v>
      </c>
      <c r="I38" s="6">
        <f t="shared" si="10"/>
        <v>0</v>
      </c>
      <c r="J38" s="6">
        <f t="shared" si="10"/>
        <v>0</v>
      </c>
      <c r="K38" s="6">
        <f t="shared" si="10"/>
        <v>0</v>
      </c>
      <c r="L38" s="86">
        <f>SUM(L35:L37)</f>
        <v>0</v>
      </c>
      <c r="S38" s="5"/>
      <c r="T38" s="5"/>
    </row>
    <row r="39" spans="1:20" x14ac:dyDescent="0.2">
      <c r="A39" s="77" t="s">
        <v>27</v>
      </c>
      <c r="B39" s="17"/>
      <c r="C39" s="17"/>
      <c r="D39" s="4"/>
      <c r="E39" s="4"/>
      <c r="F39" s="4"/>
      <c r="G39" s="4"/>
      <c r="H39" s="4"/>
      <c r="I39" s="4"/>
      <c r="J39" s="4"/>
      <c r="K39" s="4"/>
      <c r="L39" s="83"/>
      <c r="S39" s="5"/>
      <c r="T39" s="5"/>
    </row>
    <row r="40" spans="1:20" x14ac:dyDescent="0.2">
      <c r="A40" s="3" t="s">
        <v>75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83">
        <f>SUM(B40:K40)</f>
        <v>0</v>
      </c>
      <c r="S40" s="5"/>
      <c r="T40" s="5"/>
    </row>
    <row r="41" spans="1:20" x14ac:dyDescent="0.2">
      <c r="A41" s="3" t="s">
        <v>42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83">
        <f t="shared" ref="L41:L44" si="11">SUM(B41:K41)</f>
        <v>0</v>
      </c>
      <c r="S41" s="5"/>
      <c r="T41" s="5"/>
    </row>
    <row r="42" spans="1:20" x14ac:dyDescent="0.2">
      <c r="A42" s="3" t="s">
        <v>34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83">
        <f t="shared" si="11"/>
        <v>0</v>
      </c>
    </row>
    <row r="43" spans="1:20" x14ac:dyDescent="0.2">
      <c r="A43" s="3" t="s">
        <v>43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83">
        <f t="shared" si="11"/>
        <v>0</v>
      </c>
    </row>
    <row r="44" spans="1:20" x14ac:dyDescent="0.2">
      <c r="A44" s="3" t="s">
        <v>29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83">
        <f t="shared" si="11"/>
        <v>0</v>
      </c>
    </row>
    <row r="45" spans="1:20" ht="12" thickBot="1" x14ac:dyDescent="0.25">
      <c r="A45" s="76" t="s">
        <v>28</v>
      </c>
      <c r="B45" s="6">
        <f>SUM(B39:B44)</f>
        <v>0</v>
      </c>
      <c r="C45" s="6">
        <f>SUM(C39:C44)</f>
        <v>0</v>
      </c>
      <c r="D45" s="6">
        <f>SUM(D39:D44)</f>
        <v>0</v>
      </c>
      <c r="E45" s="6">
        <f t="shared" ref="E45:K45" si="12">SUM(E39:E44)</f>
        <v>0</v>
      </c>
      <c r="F45" s="6">
        <f t="shared" si="12"/>
        <v>0</v>
      </c>
      <c r="G45" s="6">
        <f t="shared" si="12"/>
        <v>0</v>
      </c>
      <c r="H45" s="6">
        <f t="shared" si="12"/>
        <v>0</v>
      </c>
      <c r="I45" s="6">
        <f t="shared" si="12"/>
        <v>0</v>
      </c>
      <c r="J45" s="6">
        <f t="shared" si="12"/>
        <v>0</v>
      </c>
      <c r="K45" s="6">
        <f t="shared" si="12"/>
        <v>0</v>
      </c>
      <c r="L45" s="86">
        <f>SUM(L39:L44)</f>
        <v>0</v>
      </c>
    </row>
    <row r="46" spans="1:20" x14ac:dyDescent="0.2">
      <c r="A46" s="77" t="s">
        <v>13</v>
      </c>
      <c r="B46" s="17"/>
      <c r="C46" s="17"/>
      <c r="D46" s="4"/>
      <c r="E46" s="4"/>
      <c r="F46" s="4"/>
      <c r="G46" s="4"/>
      <c r="H46" s="4"/>
      <c r="I46" s="4"/>
      <c r="J46" s="4"/>
      <c r="K46" s="4"/>
      <c r="L46" s="83"/>
    </row>
    <row r="47" spans="1:20" x14ac:dyDescent="0.2">
      <c r="A47" s="3" t="s">
        <v>14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83">
        <f>SUM(B47:K47)</f>
        <v>0</v>
      </c>
    </row>
    <row r="48" spans="1:20" x14ac:dyDescent="0.2">
      <c r="A48" s="3" t="s">
        <v>76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83">
        <f t="shared" ref="L48:L53" si="13">SUM(B48:K48)</f>
        <v>0</v>
      </c>
    </row>
    <row r="49" spans="1:20" x14ac:dyDescent="0.2">
      <c r="A49" s="3" t="s">
        <v>15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83">
        <f t="shared" si="13"/>
        <v>0</v>
      </c>
    </row>
    <row r="50" spans="1:20" x14ac:dyDescent="0.2">
      <c r="A50" s="3" t="s">
        <v>77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83">
        <f t="shared" si="13"/>
        <v>0</v>
      </c>
    </row>
    <row r="51" spans="1:20" x14ac:dyDescent="0.2">
      <c r="A51" s="3" t="s">
        <v>41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83">
        <f t="shared" si="13"/>
        <v>0</v>
      </c>
    </row>
    <row r="52" spans="1:20" x14ac:dyDescent="0.2">
      <c r="A52" s="3" t="s">
        <v>78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83">
        <f t="shared" si="13"/>
        <v>0</v>
      </c>
    </row>
    <row r="53" spans="1:20" x14ac:dyDescent="0.2">
      <c r="A53" s="3" t="s">
        <v>29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83">
        <f t="shared" si="13"/>
        <v>0</v>
      </c>
    </row>
    <row r="54" spans="1:20" ht="12" thickBot="1" x14ac:dyDescent="0.25">
      <c r="A54" s="76" t="s">
        <v>80</v>
      </c>
      <c r="B54" s="6">
        <f t="shared" ref="B54:L54" si="14">SUM(B46:B53)</f>
        <v>0</v>
      </c>
      <c r="C54" s="6">
        <f t="shared" si="14"/>
        <v>0</v>
      </c>
      <c r="D54" s="6">
        <f t="shared" si="14"/>
        <v>0</v>
      </c>
      <c r="E54" s="6">
        <f t="shared" si="14"/>
        <v>0</v>
      </c>
      <c r="F54" s="6">
        <f t="shared" si="14"/>
        <v>0</v>
      </c>
      <c r="G54" s="6">
        <f t="shared" ref="G54:K54" si="15">SUM(G46:G53)</f>
        <v>0</v>
      </c>
      <c r="H54" s="6">
        <f t="shared" si="15"/>
        <v>0</v>
      </c>
      <c r="I54" s="6">
        <f t="shared" si="15"/>
        <v>0</v>
      </c>
      <c r="J54" s="6">
        <f t="shared" si="15"/>
        <v>0</v>
      </c>
      <c r="K54" s="6">
        <f t="shared" si="15"/>
        <v>0</v>
      </c>
      <c r="L54" s="86">
        <f t="shared" si="14"/>
        <v>0</v>
      </c>
      <c r="P54" s="1"/>
      <c r="S54" s="5"/>
      <c r="T54" s="5"/>
    </row>
    <row r="55" spans="1:20" ht="12" thickBot="1" x14ac:dyDescent="0.25">
      <c r="A55" s="98" t="s">
        <v>16</v>
      </c>
      <c r="B55" s="96">
        <f>SUM(+B12+B20+B29+B34+B38+B45+B54)</f>
        <v>0</v>
      </c>
      <c r="C55" s="96">
        <f>SUM(+C12+C20+C29+C34+C38+C45+C54)</f>
        <v>0</v>
      </c>
      <c r="D55" s="96">
        <f t="shared" ref="D55:E55" si="16">SUM(+D12+D20+D29+D34+D38+D45+D54)</f>
        <v>0</v>
      </c>
      <c r="E55" s="96">
        <f t="shared" si="16"/>
        <v>0</v>
      </c>
      <c r="F55" s="96">
        <f>SUM(+F12+F20+F29+F34+F38+F45+F54)</f>
        <v>0</v>
      </c>
      <c r="G55" s="96">
        <f t="shared" ref="G55:K55" si="17">SUM(+G12+G20+G29+G34+G38+G45+G54)</f>
        <v>0</v>
      </c>
      <c r="H55" s="96">
        <f t="shared" si="17"/>
        <v>0</v>
      </c>
      <c r="I55" s="96">
        <f t="shared" si="17"/>
        <v>0</v>
      </c>
      <c r="J55" s="96">
        <f t="shared" si="17"/>
        <v>0</v>
      </c>
      <c r="K55" s="96">
        <f t="shared" si="17"/>
        <v>0</v>
      </c>
      <c r="L55" s="97">
        <f>SUM(+L12+L20+L29+L34+L38+L45+L54)</f>
        <v>0</v>
      </c>
      <c r="S55" s="5"/>
      <c r="T55" s="5"/>
    </row>
    <row r="56" spans="1:20" ht="12" thickBot="1" x14ac:dyDescent="0.25">
      <c r="A56" s="71" t="s">
        <v>18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81">
        <f>SUM(B56:K56)</f>
        <v>0</v>
      </c>
      <c r="S56" s="5"/>
      <c r="T56" s="5"/>
    </row>
    <row r="57" spans="1:20" ht="12" thickBot="1" x14ac:dyDescent="0.25">
      <c r="A57" s="79" t="s">
        <v>19</v>
      </c>
      <c r="B57" s="80">
        <f>+B55+B56</f>
        <v>0</v>
      </c>
      <c r="C57" s="80">
        <f t="shared" ref="C57:F57" si="18">+C55+C56</f>
        <v>0</v>
      </c>
      <c r="D57" s="80">
        <f t="shared" si="18"/>
        <v>0</v>
      </c>
      <c r="E57" s="80">
        <f t="shared" si="18"/>
        <v>0</v>
      </c>
      <c r="F57" s="80">
        <f t="shared" si="18"/>
        <v>0</v>
      </c>
      <c r="G57" s="80">
        <f t="shared" ref="G57:K57" si="19">+G55+G56</f>
        <v>0</v>
      </c>
      <c r="H57" s="80">
        <f t="shared" si="19"/>
        <v>0</v>
      </c>
      <c r="I57" s="80">
        <f t="shared" si="19"/>
        <v>0</v>
      </c>
      <c r="J57" s="80">
        <f t="shared" si="19"/>
        <v>0</v>
      </c>
      <c r="K57" s="80">
        <f t="shared" si="19"/>
        <v>0</v>
      </c>
      <c r="L57" s="81">
        <f>SUM(B57:K57)</f>
        <v>0</v>
      </c>
      <c r="S57" s="5"/>
      <c r="T57" s="5"/>
    </row>
    <row r="58" spans="1:20" x14ac:dyDescent="0.2">
      <c r="A58" s="7"/>
      <c r="B58" s="4"/>
      <c r="C58" s="4"/>
      <c r="D58" s="4"/>
      <c r="E58" s="4"/>
      <c r="F58" s="4"/>
      <c r="G58" s="4"/>
      <c r="H58" s="4"/>
      <c r="I58" s="4"/>
      <c r="J58" s="4"/>
      <c r="K58" s="4"/>
      <c r="Q58" s="4"/>
      <c r="S58" s="5"/>
      <c r="T58" s="5"/>
    </row>
    <row r="59" spans="1:20" x14ac:dyDescent="0.2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N59" s="18"/>
      <c r="O59" s="4"/>
      <c r="P59" s="18"/>
      <c r="Q59" s="18"/>
      <c r="R59" s="18"/>
      <c r="S59" s="5"/>
      <c r="T59" s="5"/>
    </row>
    <row r="60" spans="1:20" x14ac:dyDescent="0.2">
      <c r="A60" s="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N60" s="18"/>
      <c r="O60" s="4"/>
      <c r="P60" s="18"/>
      <c r="Q60" s="18"/>
      <c r="R60" s="18"/>
      <c r="S60" s="5"/>
      <c r="T60" s="5"/>
    </row>
    <row r="61" spans="1:20" ht="12" thickBot="1" x14ac:dyDescent="0.25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2"/>
      <c r="N61" s="12"/>
      <c r="O61" s="12"/>
      <c r="P61" s="4"/>
    </row>
    <row r="63" spans="1:20" x14ac:dyDescent="0.2">
      <c r="A63" s="1" t="s">
        <v>37</v>
      </c>
      <c r="B63" s="84">
        <f>IF(B57&lt;25000,B57,25000)</f>
        <v>0</v>
      </c>
      <c r="C63" s="84">
        <f>IF(+B57&gt;25000,0,IF(B57+C57&gt;25000,(25000-B57),C57))</f>
        <v>0</v>
      </c>
      <c r="D63" s="84">
        <f>IF(+B57+C57&gt;25000,0,IF(B57+C57+D57&gt;25000,(25000-(B57+C57)),D57))</f>
        <v>0</v>
      </c>
      <c r="E63" s="84">
        <f>IF(B57+C57+D57&gt;25000,0,IF(B57+C57+D57+E57&gt;25000,(25000-(B57+C57+D57)),E57))</f>
        <v>0</v>
      </c>
      <c r="F63" s="84">
        <f>IF(B57+C57+D57+E57&gt;25000,0,IF(B57+C57+D57+E57+F57&gt;25000,(25000-(B57+C57+D57+E57)),F57))</f>
        <v>0</v>
      </c>
      <c r="G63" s="84">
        <f t="shared" ref="G63:K63" si="20">IF(C57+D57+E57+F57&gt;25000,0,IF(C57+D57+E57+F57+G57&gt;25000,(25000-(C57+D57+E57+F57)),G57))</f>
        <v>0</v>
      </c>
      <c r="H63" s="84">
        <f t="shared" si="20"/>
        <v>0</v>
      </c>
      <c r="I63" s="84">
        <f t="shared" si="20"/>
        <v>0</v>
      </c>
      <c r="J63" s="84">
        <f t="shared" si="20"/>
        <v>0</v>
      </c>
      <c r="K63" s="84">
        <f t="shared" si="20"/>
        <v>0</v>
      </c>
      <c r="L63" s="17">
        <f>SUM(B63:K63)</f>
        <v>0</v>
      </c>
      <c r="M63" s="17"/>
      <c r="N63" s="1"/>
    </row>
    <row r="64" spans="1:20" x14ac:dyDescent="0.2">
      <c r="A64" s="1" t="s">
        <v>38</v>
      </c>
      <c r="B64" s="84">
        <f>+B57-B63</f>
        <v>0</v>
      </c>
      <c r="C64" s="84">
        <f>+C57-C63</f>
        <v>0</v>
      </c>
      <c r="D64" s="84">
        <f>+D57-D63</f>
        <v>0</v>
      </c>
      <c r="E64" s="84">
        <f>+E57-E63</f>
        <v>0</v>
      </c>
      <c r="F64" s="84">
        <f>+F57-F63</f>
        <v>0</v>
      </c>
      <c r="G64" s="84">
        <f t="shared" ref="G64:K64" si="21">+G57-G63</f>
        <v>0</v>
      </c>
      <c r="H64" s="84">
        <f t="shared" si="21"/>
        <v>0</v>
      </c>
      <c r="I64" s="84">
        <f t="shared" si="21"/>
        <v>0</v>
      </c>
      <c r="J64" s="84">
        <f t="shared" si="21"/>
        <v>0</v>
      </c>
      <c r="K64" s="84">
        <f t="shared" si="21"/>
        <v>0</v>
      </c>
      <c r="L64" s="17">
        <f>SUM(B64:K64)</f>
        <v>0</v>
      </c>
      <c r="M64" s="17"/>
      <c r="N64" s="1"/>
    </row>
    <row r="65" spans="2:12" x14ac:dyDescent="0.2">
      <c r="C65" s="5"/>
      <c r="L65" s="17"/>
    </row>
    <row r="66" spans="2:12" x14ac:dyDescent="0.2">
      <c r="B66" s="5">
        <f>SUM(B63:B64)</f>
        <v>0</v>
      </c>
      <c r="C66" s="5">
        <f>SUM(C63:C64)</f>
        <v>0</v>
      </c>
      <c r="D66" s="5">
        <f t="shared" ref="D66:F66" si="22">SUM(D63:D64)</f>
        <v>0</v>
      </c>
      <c r="E66" s="5">
        <f t="shared" si="22"/>
        <v>0</v>
      </c>
      <c r="F66" s="5">
        <f t="shared" si="22"/>
        <v>0</v>
      </c>
      <c r="G66" s="5">
        <f t="shared" ref="G66:K66" si="23">SUM(G63:G64)</f>
        <v>0</v>
      </c>
      <c r="H66" s="5">
        <f t="shared" si="23"/>
        <v>0</v>
      </c>
      <c r="I66" s="5">
        <f t="shared" si="23"/>
        <v>0</v>
      </c>
      <c r="J66" s="5">
        <f t="shared" si="23"/>
        <v>0</v>
      </c>
      <c r="K66" s="5">
        <f t="shared" si="23"/>
        <v>0</v>
      </c>
      <c r="L66" s="17">
        <f>SUM(B66:K66)</f>
        <v>0</v>
      </c>
    </row>
  </sheetData>
  <pageMargins left="0.75" right="0.53" top="0.7" bottom="0.64" header="0.5" footer="0.5"/>
  <pageSetup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T66"/>
  <sheetViews>
    <sheetView zoomScale="130" zoomScaleNormal="130" workbookViewId="0"/>
  </sheetViews>
  <sheetFormatPr defaultColWidth="9.140625" defaultRowHeight="11.25" x14ac:dyDescent="0.2"/>
  <cols>
    <col min="1" max="1" width="33.42578125" style="1" customWidth="1"/>
    <col min="2" max="11" width="8.42578125" style="1" customWidth="1"/>
    <col min="12" max="12" width="9.5703125" style="2" bestFit="1" customWidth="1"/>
    <col min="13" max="13" width="9.7109375" style="2" customWidth="1"/>
    <col min="14" max="14" width="18.5703125" style="2" bestFit="1" customWidth="1"/>
    <col min="15" max="15" width="6.85546875" style="2" bestFit="1" customWidth="1"/>
    <col min="16" max="16" width="9.85546875" style="2" customWidth="1"/>
    <col min="17" max="18" width="9.7109375" style="1" customWidth="1"/>
    <col min="19" max="16384" width="9.140625" style="1"/>
  </cols>
  <sheetData>
    <row r="1" spans="1:19" ht="12.75" x14ac:dyDescent="0.2">
      <c r="A1" s="67">
        <f>+'Lead Budget'!A1</f>
        <v>0</v>
      </c>
    </row>
    <row r="2" spans="1:19" ht="12.75" x14ac:dyDescent="0.2">
      <c r="A2" s="67" t="str">
        <f>+'Lead Budget'!A2</f>
        <v>NSF</v>
      </c>
    </row>
    <row r="3" spans="1:19" ht="12.75" customHeight="1" thickBot="1" x14ac:dyDescent="0.25"/>
    <row r="4" spans="1:19" x14ac:dyDescent="0.2">
      <c r="A4" s="68"/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69"/>
    </row>
    <row r="5" spans="1:19" ht="12" thickBot="1" x14ac:dyDescent="0.25">
      <c r="A5" s="68" t="str">
        <f ca="1">""&amp;MID('rates, dates, etc'!AR12,FIND("]",'rates, dates, etc'!AR12)+1,25)</f>
        <v>Consortium 4</v>
      </c>
      <c r="B5" s="70">
        <f>+'Lead Budget'!B5</f>
        <v>45658</v>
      </c>
      <c r="C5" s="70">
        <f>+'Lead Budget'!C5</f>
        <v>46023</v>
      </c>
      <c r="D5" s="70">
        <f>+'Lead Budget'!D5</f>
        <v>46388</v>
      </c>
      <c r="E5" s="70">
        <f>+'Lead Budget'!E5</f>
        <v>46753</v>
      </c>
      <c r="F5" s="70">
        <f>+'Lead Budget'!F5</f>
        <v>47119</v>
      </c>
      <c r="G5" s="70">
        <f>+'Lead Budget'!G5</f>
        <v>47484</v>
      </c>
      <c r="H5" s="70">
        <f>+'Lead Budget'!H5</f>
        <v>47849</v>
      </c>
      <c r="I5" s="70">
        <f>+'Lead Budget'!I5</f>
        <v>48214</v>
      </c>
      <c r="J5" s="70">
        <f>+'Lead Budget'!J5</f>
        <v>48580</v>
      </c>
      <c r="K5" s="70">
        <f>+'Lead Budget'!K5</f>
        <v>48945</v>
      </c>
      <c r="L5" s="85"/>
    </row>
    <row r="6" spans="1:19" ht="12" thickBot="1" x14ac:dyDescent="0.25">
      <c r="A6" s="71" t="s">
        <v>4</v>
      </c>
      <c r="B6" s="88">
        <f>+'Lead Budget'!B6</f>
        <v>46022</v>
      </c>
      <c r="C6" s="72">
        <f>+'Lead Budget'!C6</f>
        <v>46387</v>
      </c>
      <c r="D6" s="72">
        <f>+'Lead Budget'!D6</f>
        <v>46752</v>
      </c>
      <c r="E6" s="72">
        <f>+'Lead Budget'!E6</f>
        <v>47118</v>
      </c>
      <c r="F6" s="72">
        <f>+'Lead Budget'!F6</f>
        <v>47483</v>
      </c>
      <c r="G6" s="72">
        <f>+'Lead Budget'!G6</f>
        <v>47848</v>
      </c>
      <c r="H6" s="72">
        <f>+'Lead Budget'!H6</f>
        <v>48213</v>
      </c>
      <c r="I6" s="72">
        <f>+'Lead Budget'!I6</f>
        <v>48579</v>
      </c>
      <c r="J6" s="72">
        <f>+'Lead Budget'!J6</f>
        <v>48944</v>
      </c>
      <c r="K6" s="72">
        <f>+'Lead Budget'!K6</f>
        <v>49309</v>
      </c>
      <c r="L6" s="73" t="s">
        <v>5</v>
      </c>
    </row>
    <row r="7" spans="1:19" x14ac:dyDescent="0.2">
      <c r="A7" s="74" t="s">
        <v>111</v>
      </c>
      <c r="B7" s="17"/>
      <c r="C7" s="17"/>
      <c r="D7" s="4"/>
      <c r="E7" s="4"/>
      <c r="F7" s="4"/>
      <c r="G7" s="4"/>
      <c r="H7" s="4"/>
      <c r="I7" s="4"/>
      <c r="J7" s="4"/>
      <c r="K7" s="4"/>
      <c r="L7" s="83" t="s">
        <v>6</v>
      </c>
    </row>
    <row r="8" spans="1:19" x14ac:dyDescent="0.2">
      <c r="A8" s="3" t="s">
        <v>65</v>
      </c>
      <c r="B8" s="342">
        <v>0</v>
      </c>
      <c r="C8" s="342">
        <v>0</v>
      </c>
      <c r="D8" s="342">
        <v>0</v>
      </c>
      <c r="E8" s="342">
        <v>0</v>
      </c>
      <c r="F8" s="342">
        <v>0</v>
      </c>
      <c r="G8" s="342">
        <v>0</v>
      </c>
      <c r="H8" s="342">
        <v>0</v>
      </c>
      <c r="I8" s="342">
        <v>0</v>
      </c>
      <c r="J8" s="342">
        <v>0</v>
      </c>
      <c r="K8" s="342">
        <v>0</v>
      </c>
      <c r="L8" s="83">
        <f>SUM(B8:K8)</f>
        <v>0</v>
      </c>
      <c r="S8" s="5"/>
    </row>
    <row r="9" spans="1:19" x14ac:dyDescent="0.2">
      <c r="A9" s="3" t="s">
        <v>57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83">
        <f>SUM(B9:K9)</f>
        <v>0</v>
      </c>
    </row>
    <row r="10" spans="1:19" x14ac:dyDescent="0.2">
      <c r="A10" s="3" t="s">
        <v>195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83">
        <f t="shared" ref="L10:L11" si="0">SUM(B10:K10)</f>
        <v>0</v>
      </c>
    </row>
    <row r="11" spans="1:19" x14ac:dyDescent="0.2">
      <c r="A11" s="3" t="s">
        <v>196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83">
        <f t="shared" si="0"/>
        <v>0</v>
      </c>
    </row>
    <row r="12" spans="1:19" ht="12" thickBot="1" x14ac:dyDescent="0.25">
      <c r="A12" s="76" t="str">
        <f>CONCATENATE("Total ",A7)</f>
        <v>Total Senior Personnel Salary</v>
      </c>
      <c r="B12" s="6">
        <f>SUM(B7:B11)</f>
        <v>0</v>
      </c>
      <c r="C12" s="6">
        <f t="shared" ref="C12:K12" si="1">SUM(C7:C11)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86">
        <f>SUM(L7:L11)</f>
        <v>0</v>
      </c>
    </row>
    <row r="13" spans="1:19" x14ac:dyDescent="0.2">
      <c r="A13" s="75" t="s">
        <v>112</v>
      </c>
      <c r="B13" s="17"/>
      <c r="C13" s="17"/>
      <c r="D13" s="4"/>
      <c r="E13" s="4"/>
      <c r="F13" s="4"/>
      <c r="G13" s="4"/>
      <c r="H13" s="4"/>
      <c r="I13" s="4"/>
      <c r="J13" s="4"/>
      <c r="K13" s="4"/>
      <c r="L13" s="83"/>
    </row>
    <row r="14" spans="1:19" x14ac:dyDescent="0.2">
      <c r="A14" s="3" t="s">
        <v>72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83">
        <f>SUM(B14:K14)</f>
        <v>0</v>
      </c>
    </row>
    <row r="15" spans="1:19" x14ac:dyDescent="0.2">
      <c r="A15" s="3" t="s">
        <v>70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83">
        <f t="shared" ref="L15:L19" si="2">SUM(B15:K15)</f>
        <v>0</v>
      </c>
    </row>
    <row r="16" spans="1:19" x14ac:dyDescent="0.2">
      <c r="A16" s="3" t="s">
        <v>73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83">
        <f t="shared" si="2"/>
        <v>0</v>
      </c>
    </row>
    <row r="17" spans="1:20" x14ac:dyDescent="0.2">
      <c r="A17" s="3" t="s">
        <v>74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83">
        <f t="shared" si="2"/>
        <v>0</v>
      </c>
    </row>
    <row r="18" spans="1:20" x14ac:dyDescent="0.2">
      <c r="A18" s="3" t="s">
        <v>29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83">
        <f t="shared" si="2"/>
        <v>0</v>
      </c>
    </row>
    <row r="19" spans="1:20" x14ac:dyDescent="0.2">
      <c r="A19" s="3" t="s">
        <v>197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83">
        <f t="shared" si="2"/>
        <v>0</v>
      </c>
      <c r="S19" s="5"/>
      <c r="T19" s="5"/>
    </row>
    <row r="20" spans="1:20" ht="12" thickBot="1" x14ac:dyDescent="0.25">
      <c r="A20" s="76" t="str">
        <f>CONCATENATE("Total ",A13)</f>
        <v>Total Other Personnel Salary</v>
      </c>
      <c r="B20" s="6">
        <f>SUM(B13:B19)</f>
        <v>0</v>
      </c>
      <c r="C20" s="6">
        <f t="shared" ref="C20:K20" si="3">SUM(C13:C19)</f>
        <v>0</v>
      </c>
      <c r="D20" s="6">
        <f>SUM(D13:D19)</f>
        <v>0</v>
      </c>
      <c r="E20" s="6">
        <f>SUM(E13:E19)</f>
        <v>0</v>
      </c>
      <c r="F20" s="6">
        <f t="shared" si="3"/>
        <v>0</v>
      </c>
      <c r="G20" s="6">
        <f t="shared" si="3"/>
        <v>0</v>
      </c>
      <c r="H20" s="6">
        <f t="shared" si="3"/>
        <v>0</v>
      </c>
      <c r="I20" s="6">
        <f t="shared" si="3"/>
        <v>0</v>
      </c>
      <c r="J20" s="6">
        <f t="shared" si="3"/>
        <v>0</v>
      </c>
      <c r="K20" s="6">
        <f t="shared" si="3"/>
        <v>0</v>
      </c>
      <c r="L20" s="86">
        <f>SUM(L13:L19)</f>
        <v>0</v>
      </c>
    </row>
    <row r="21" spans="1:20" x14ac:dyDescent="0.2">
      <c r="A21" s="77" t="s">
        <v>7</v>
      </c>
      <c r="B21" s="17" t="s">
        <v>6</v>
      </c>
      <c r="C21" s="17"/>
      <c r="D21" s="4"/>
      <c r="E21" s="4"/>
      <c r="F21" s="4"/>
      <c r="G21" s="4"/>
      <c r="H21" s="4"/>
      <c r="I21" s="4"/>
      <c r="J21" s="4"/>
      <c r="K21" s="4"/>
      <c r="L21" s="83"/>
    </row>
    <row r="22" spans="1:20" x14ac:dyDescent="0.2">
      <c r="A22" s="3" t="str">
        <f>+A8</f>
        <v>PI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83">
        <f>SUM(B22:K22)</f>
        <v>0</v>
      </c>
    </row>
    <row r="23" spans="1:20" x14ac:dyDescent="0.2">
      <c r="A23" s="3" t="str">
        <f>+A9</f>
        <v>Co-PI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83">
        <f t="shared" ref="L23:L28" si="4">SUM(B23:K23)</f>
        <v>0</v>
      </c>
    </row>
    <row r="24" spans="1:20" x14ac:dyDescent="0.2">
      <c r="A24" s="3" t="s">
        <v>195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83">
        <f t="shared" si="4"/>
        <v>0</v>
      </c>
    </row>
    <row r="25" spans="1:20" x14ac:dyDescent="0.2">
      <c r="A25" s="3" t="s">
        <v>196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83">
        <f t="shared" si="4"/>
        <v>0</v>
      </c>
    </row>
    <row r="26" spans="1:20" x14ac:dyDescent="0.2">
      <c r="A26" s="3" t="s">
        <v>72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83">
        <f t="shared" si="4"/>
        <v>0</v>
      </c>
    </row>
    <row r="27" spans="1:20" x14ac:dyDescent="0.2">
      <c r="A27" s="3" t="s">
        <v>74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83">
        <f t="shared" si="4"/>
        <v>0</v>
      </c>
      <c r="S27" s="5"/>
      <c r="T27" s="5"/>
    </row>
    <row r="28" spans="1:20" x14ac:dyDescent="0.2">
      <c r="A28" s="3" t="s">
        <v>29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83">
        <f t="shared" si="4"/>
        <v>0</v>
      </c>
      <c r="S28" s="5"/>
      <c r="T28" s="5"/>
    </row>
    <row r="29" spans="1:20" ht="12" thickBot="1" x14ac:dyDescent="0.25">
      <c r="A29" s="76" t="s">
        <v>79</v>
      </c>
      <c r="B29" s="6">
        <f>SUM(B21:B28)</f>
        <v>0</v>
      </c>
      <c r="C29" s="6">
        <f>SUM(C21:C28)</f>
        <v>0</v>
      </c>
      <c r="D29" s="6">
        <f>SUM(D21:D28)</f>
        <v>0</v>
      </c>
      <c r="E29" s="6">
        <f t="shared" ref="E29:F29" si="5">SUM(E21:E28)</f>
        <v>0</v>
      </c>
      <c r="F29" s="6">
        <f t="shared" si="5"/>
        <v>0</v>
      </c>
      <c r="G29" s="6">
        <f t="shared" ref="G29:K29" si="6">SUM(G21:G28)</f>
        <v>0</v>
      </c>
      <c r="H29" s="6">
        <f t="shared" si="6"/>
        <v>0</v>
      </c>
      <c r="I29" s="6">
        <f t="shared" si="6"/>
        <v>0</v>
      </c>
      <c r="J29" s="6">
        <f t="shared" si="6"/>
        <v>0</v>
      </c>
      <c r="K29" s="6">
        <f t="shared" si="6"/>
        <v>0</v>
      </c>
      <c r="L29" s="86">
        <f>SUM(L21:L28)</f>
        <v>0</v>
      </c>
      <c r="S29" s="5"/>
      <c r="T29" s="5"/>
    </row>
    <row r="30" spans="1:20" ht="12" thickBot="1" x14ac:dyDescent="0.25">
      <c r="A30" s="130" t="s">
        <v>108</v>
      </c>
      <c r="B30" s="131">
        <f>+B12+B20+B29</f>
        <v>0</v>
      </c>
      <c r="C30" s="131">
        <f>+C12+C20+C29</f>
        <v>0</v>
      </c>
      <c r="D30" s="131">
        <f t="shared" ref="D30:F30" si="7">+D12+D20+D29</f>
        <v>0</v>
      </c>
      <c r="E30" s="131">
        <f t="shared" si="7"/>
        <v>0</v>
      </c>
      <c r="F30" s="131">
        <f t="shared" si="7"/>
        <v>0</v>
      </c>
      <c r="G30" s="131">
        <f t="shared" ref="G30:K30" si="8">+G12+G20+G29</f>
        <v>0</v>
      </c>
      <c r="H30" s="131">
        <f t="shared" si="8"/>
        <v>0</v>
      </c>
      <c r="I30" s="131">
        <f t="shared" si="8"/>
        <v>0</v>
      </c>
      <c r="J30" s="131">
        <f t="shared" si="8"/>
        <v>0</v>
      </c>
      <c r="K30" s="131">
        <f t="shared" si="8"/>
        <v>0</v>
      </c>
      <c r="L30" s="132">
        <f>+L12+L20+L29</f>
        <v>0</v>
      </c>
      <c r="S30" s="5"/>
      <c r="T30" s="5"/>
    </row>
    <row r="31" spans="1:20" x14ac:dyDescent="0.2">
      <c r="A31" s="77" t="s">
        <v>25</v>
      </c>
      <c r="B31" s="17"/>
      <c r="C31" s="17"/>
      <c r="D31" s="4"/>
      <c r="E31" s="4"/>
      <c r="F31" s="4"/>
      <c r="G31" s="4"/>
      <c r="H31" s="4"/>
      <c r="I31" s="4"/>
      <c r="J31" s="4"/>
      <c r="K31" s="4"/>
      <c r="L31" s="83"/>
      <c r="S31" s="5"/>
      <c r="T31" s="5"/>
    </row>
    <row r="32" spans="1:20" x14ac:dyDescent="0.2">
      <c r="A32" s="3" t="s">
        <v>62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83">
        <f>SUM(B32:K32)</f>
        <v>0</v>
      </c>
    </row>
    <row r="33" spans="1:20" x14ac:dyDescent="0.2">
      <c r="A33" s="3" t="s">
        <v>29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83">
        <f>SUM(B33:K33)</f>
        <v>0</v>
      </c>
    </row>
    <row r="34" spans="1:20" ht="12" thickBot="1" x14ac:dyDescent="0.25">
      <c r="A34" s="76" t="s">
        <v>26</v>
      </c>
      <c r="B34" s="6">
        <f>SUM(B31:B33)</f>
        <v>0</v>
      </c>
      <c r="C34" s="6">
        <f>SUM(C31:C33)</f>
        <v>0</v>
      </c>
      <c r="D34" s="6">
        <f>SUM(D31:D33)</f>
        <v>0</v>
      </c>
      <c r="E34" s="6">
        <f t="shared" ref="E34:K34" si="9">SUM(E31:E33)</f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86">
        <f>SUM(L31:L33)</f>
        <v>0</v>
      </c>
    </row>
    <row r="35" spans="1:20" x14ac:dyDescent="0.2">
      <c r="A35" s="77" t="s">
        <v>34</v>
      </c>
      <c r="B35" s="17"/>
      <c r="C35" s="17"/>
      <c r="D35" s="4"/>
      <c r="E35" s="4"/>
      <c r="F35" s="4"/>
      <c r="G35" s="4"/>
      <c r="H35" s="4"/>
      <c r="I35" s="4"/>
      <c r="J35" s="4"/>
      <c r="K35" s="4"/>
      <c r="L35" s="83"/>
    </row>
    <row r="36" spans="1:20" x14ac:dyDescent="0.2">
      <c r="A36" s="3" t="s">
        <v>10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83">
        <f>SUM(B36:K36)</f>
        <v>0</v>
      </c>
      <c r="S36" s="5"/>
      <c r="T36" s="5"/>
    </row>
    <row r="37" spans="1:20" x14ac:dyDescent="0.2">
      <c r="A37" s="3" t="s">
        <v>11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83">
        <f>SUM(B37:K37)</f>
        <v>0</v>
      </c>
      <c r="S37" s="5"/>
      <c r="T37" s="5"/>
    </row>
    <row r="38" spans="1:20" ht="12" thickBot="1" x14ac:dyDescent="0.25">
      <c r="A38" s="76" t="s">
        <v>12</v>
      </c>
      <c r="B38" s="6">
        <f>SUM(B35:B37)</f>
        <v>0</v>
      </c>
      <c r="C38" s="6">
        <f>SUM(C35:C37)</f>
        <v>0</v>
      </c>
      <c r="D38" s="6">
        <f>SUM(D35:D37)</f>
        <v>0</v>
      </c>
      <c r="E38" s="6">
        <f t="shared" ref="E38:K38" si="10">SUM(E35:E37)</f>
        <v>0</v>
      </c>
      <c r="F38" s="6">
        <f t="shared" si="10"/>
        <v>0</v>
      </c>
      <c r="G38" s="6">
        <f t="shared" si="10"/>
        <v>0</v>
      </c>
      <c r="H38" s="6">
        <f t="shared" si="10"/>
        <v>0</v>
      </c>
      <c r="I38" s="6">
        <f t="shared" si="10"/>
        <v>0</v>
      </c>
      <c r="J38" s="6">
        <f t="shared" si="10"/>
        <v>0</v>
      </c>
      <c r="K38" s="6">
        <f t="shared" si="10"/>
        <v>0</v>
      </c>
      <c r="L38" s="86">
        <f>SUM(L35:L37)</f>
        <v>0</v>
      </c>
      <c r="S38" s="5"/>
      <c r="T38" s="5"/>
    </row>
    <row r="39" spans="1:20" x14ac:dyDescent="0.2">
      <c r="A39" s="77" t="s">
        <v>27</v>
      </c>
      <c r="B39" s="17"/>
      <c r="C39" s="17"/>
      <c r="D39" s="4"/>
      <c r="E39" s="4"/>
      <c r="F39" s="4"/>
      <c r="G39" s="4"/>
      <c r="H39" s="4"/>
      <c r="I39" s="4"/>
      <c r="J39" s="4"/>
      <c r="K39" s="4"/>
      <c r="L39" s="83"/>
      <c r="S39" s="5"/>
      <c r="T39" s="5"/>
    </row>
    <row r="40" spans="1:20" x14ac:dyDescent="0.2">
      <c r="A40" s="3" t="s">
        <v>75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83">
        <f>SUM(B40:K40)</f>
        <v>0</v>
      </c>
      <c r="S40" s="5"/>
      <c r="T40" s="5"/>
    </row>
    <row r="41" spans="1:20" x14ac:dyDescent="0.2">
      <c r="A41" s="3" t="s">
        <v>42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83">
        <f t="shared" ref="L41:L44" si="11">SUM(B41:K41)</f>
        <v>0</v>
      </c>
      <c r="S41" s="5"/>
      <c r="T41" s="5"/>
    </row>
    <row r="42" spans="1:20" x14ac:dyDescent="0.2">
      <c r="A42" s="3" t="s">
        <v>34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83">
        <f t="shared" si="11"/>
        <v>0</v>
      </c>
    </row>
    <row r="43" spans="1:20" x14ac:dyDescent="0.2">
      <c r="A43" s="3" t="s">
        <v>43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83">
        <f t="shared" si="11"/>
        <v>0</v>
      </c>
    </row>
    <row r="44" spans="1:20" x14ac:dyDescent="0.2">
      <c r="A44" s="3" t="s">
        <v>29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83">
        <f t="shared" si="11"/>
        <v>0</v>
      </c>
    </row>
    <row r="45" spans="1:20" ht="12" thickBot="1" x14ac:dyDescent="0.25">
      <c r="A45" s="76" t="s">
        <v>28</v>
      </c>
      <c r="B45" s="6">
        <f>SUM(B39:B44)</f>
        <v>0</v>
      </c>
      <c r="C45" s="6">
        <f>SUM(C39:C44)</f>
        <v>0</v>
      </c>
      <c r="D45" s="6">
        <f>SUM(D39:D44)</f>
        <v>0</v>
      </c>
      <c r="E45" s="6">
        <f t="shared" ref="E45:K45" si="12">SUM(E39:E44)</f>
        <v>0</v>
      </c>
      <c r="F45" s="6">
        <f t="shared" si="12"/>
        <v>0</v>
      </c>
      <c r="G45" s="6">
        <f t="shared" si="12"/>
        <v>0</v>
      </c>
      <c r="H45" s="6">
        <f t="shared" si="12"/>
        <v>0</v>
      </c>
      <c r="I45" s="6">
        <f t="shared" si="12"/>
        <v>0</v>
      </c>
      <c r="J45" s="6">
        <f t="shared" si="12"/>
        <v>0</v>
      </c>
      <c r="K45" s="6">
        <f t="shared" si="12"/>
        <v>0</v>
      </c>
      <c r="L45" s="86">
        <f>SUM(L39:L44)</f>
        <v>0</v>
      </c>
    </row>
    <row r="46" spans="1:20" x14ac:dyDescent="0.2">
      <c r="A46" s="77" t="s">
        <v>13</v>
      </c>
      <c r="B46" s="17"/>
      <c r="C46" s="17"/>
      <c r="D46" s="4"/>
      <c r="E46" s="4"/>
      <c r="F46" s="4"/>
      <c r="G46" s="4"/>
      <c r="H46" s="4"/>
      <c r="I46" s="4"/>
      <c r="J46" s="4"/>
      <c r="K46" s="4"/>
      <c r="L46" s="83"/>
    </row>
    <row r="47" spans="1:20" x14ac:dyDescent="0.2">
      <c r="A47" s="3" t="s">
        <v>14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83">
        <f>SUM(B47:K47)</f>
        <v>0</v>
      </c>
    </row>
    <row r="48" spans="1:20" x14ac:dyDescent="0.2">
      <c r="A48" s="3" t="s">
        <v>76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83">
        <f t="shared" ref="L48:L53" si="13">SUM(B48:K48)</f>
        <v>0</v>
      </c>
    </row>
    <row r="49" spans="1:20" x14ac:dyDescent="0.2">
      <c r="A49" s="3" t="s">
        <v>15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83">
        <f t="shared" si="13"/>
        <v>0</v>
      </c>
    </row>
    <row r="50" spans="1:20" x14ac:dyDescent="0.2">
      <c r="A50" s="3" t="s">
        <v>77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83">
        <f t="shared" si="13"/>
        <v>0</v>
      </c>
    </row>
    <row r="51" spans="1:20" x14ac:dyDescent="0.2">
      <c r="A51" s="3" t="s">
        <v>41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83">
        <f t="shared" si="13"/>
        <v>0</v>
      </c>
    </row>
    <row r="52" spans="1:20" x14ac:dyDescent="0.2">
      <c r="A52" s="3" t="s">
        <v>78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83">
        <f t="shared" si="13"/>
        <v>0</v>
      </c>
    </row>
    <row r="53" spans="1:20" x14ac:dyDescent="0.2">
      <c r="A53" s="3" t="s">
        <v>29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83">
        <f t="shared" si="13"/>
        <v>0</v>
      </c>
    </row>
    <row r="54" spans="1:20" ht="12" thickBot="1" x14ac:dyDescent="0.25">
      <c r="A54" s="76" t="s">
        <v>80</v>
      </c>
      <c r="B54" s="6">
        <f t="shared" ref="B54:L54" si="14">SUM(B46:B53)</f>
        <v>0</v>
      </c>
      <c r="C54" s="6">
        <f t="shared" si="14"/>
        <v>0</v>
      </c>
      <c r="D54" s="6">
        <f t="shared" si="14"/>
        <v>0</v>
      </c>
      <c r="E54" s="6">
        <f t="shared" si="14"/>
        <v>0</v>
      </c>
      <c r="F54" s="6">
        <f t="shared" si="14"/>
        <v>0</v>
      </c>
      <c r="G54" s="6">
        <f t="shared" ref="G54:K54" si="15">SUM(G46:G53)</f>
        <v>0</v>
      </c>
      <c r="H54" s="6">
        <f t="shared" si="15"/>
        <v>0</v>
      </c>
      <c r="I54" s="6">
        <f t="shared" si="15"/>
        <v>0</v>
      </c>
      <c r="J54" s="6">
        <f t="shared" si="15"/>
        <v>0</v>
      </c>
      <c r="K54" s="6">
        <f t="shared" si="15"/>
        <v>0</v>
      </c>
      <c r="L54" s="86">
        <f t="shared" si="14"/>
        <v>0</v>
      </c>
      <c r="P54" s="1"/>
      <c r="S54" s="5"/>
      <c r="T54" s="5"/>
    </row>
    <row r="55" spans="1:20" ht="12" thickBot="1" x14ac:dyDescent="0.25">
      <c r="A55" s="98" t="s">
        <v>16</v>
      </c>
      <c r="B55" s="96">
        <f>SUM(+B12+B20+B29+B34+B38+B45+B54)</f>
        <v>0</v>
      </c>
      <c r="C55" s="96">
        <f t="shared" ref="C55:D55" si="16">SUM(+C12+C20+C29+C34+C38+C45+C54)</f>
        <v>0</v>
      </c>
      <c r="D55" s="96">
        <f t="shared" si="16"/>
        <v>0</v>
      </c>
      <c r="E55" s="96">
        <f>SUM(+E12+E20+E29+E34+E38+E45+E54)</f>
        <v>0</v>
      </c>
      <c r="F55" s="96">
        <f>SUM(+F12+F20+F29+F34+F38+F45+F54)</f>
        <v>0</v>
      </c>
      <c r="G55" s="96">
        <f t="shared" ref="G55:K55" si="17">SUM(+G12+G20+G29+G34+G38+G45+G54)</f>
        <v>0</v>
      </c>
      <c r="H55" s="96">
        <f t="shared" si="17"/>
        <v>0</v>
      </c>
      <c r="I55" s="96">
        <f t="shared" si="17"/>
        <v>0</v>
      </c>
      <c r="J55" s="96">
        <f t="shared" si="17"/>
        <v>0</v>
      </c>
      <c r="K55" s="96">
        <f t="shared" si="17"/>
        <v>0</v>
      </c>
      <c r="L55" s="97">
        <f>SUM(+L12+L20+L29+L34+L38+L45+L54)</f>
        <v>0</v>
      </c>
      <c r="S55" s="5"/>
      <c r="T55" s="5"/>
    </row>
    <row r="56" spans="1:20" ht="12" thickBot="1" x14ac:dyDescent="0.25">
      <c r="A56" s="71" t="s">
        <v>18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81">
        <f>SUM(B56:K56)</f>
        <v>0</v>
      </c>
      <c r="S56" s="5"/>
      <c r="T56" s="5"/>
    </row>
    <row r="57" spans="1:20" ht="12" thickBot="1" x14ac:dyDescent="0.25">
      <c r="A57" s="79" t="s">
        <v>19</v>
      </c>
      <c r="B57" s="80">
        <f>+B55+B56</f>
        <v>0</v>
      </c>
      <c r="C57" s="80">
        <f t="shared" ref="C57:F57" si="18">+C55+C56</f>
        <v>0</v>
      </c>
      <c r="D57" s="80">
        <f t="shared" si="18"/>
        <v>0</v>
      </c>
      <c r="E57" s="80">
        <f t="shared" si="18"/>
        <v>0</v>
      </c>
      <c r="F57" s="80">
        <f t="shared" si="18"/>
        <v>0</v>
      </c>
      <c r="G57" s="80">
        <f t="shared" ref="G57:K57" si="19">+G55+G56</f>
        <v>0</v>
      </c>
      <c r="H57" s="80">
        <f t="shared" si="19"/>
        <v>0</v>
      </c>
      <c r="I57" s="80">
        <f t="shared" si="19"/>
        <v>0</v>
      </c>
      <c r="J57" s="80">
        <f t="shared" si="19"/>
        <v>0</v>
      </c>
      <c r="K57" s="80">
        <f t="shared" si="19"/>
        <v>0</v>
      </c>
      <c r="L57" s="81">
        <f>SUM(B57:K57)</f>
        <v>0</v>
      </c>
      <c r="S57" s="5"/>
      <c r="T57" s="5"/>
    </row>
    <row r="58" spans="1:20" x14ac:dyDescent="0.2">
      <c r="A58" s="7"/>
      <c r="B58" s="4"/>
      <c r="C58" s="4"/>
      <c r="D58" s="4"/>
      <c r="E58" s="4"/>
      <c r="F58" s="4"/>
      <c r="G58" s="4"/>
      <c r="H58" s="4"/>
      <c r="I58" s="4"/>
      <c r="J58" s="4"/>
      <c r="K58" s="4"/>
      <c r="Q58" s="4"/>
      <c r="S58" s="5"/>
      <c r="T58" s="5"/>
    </row>
    <row r="59" spans="1:20" x14ac:dyDescent="0.2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N59" s="18"/>
      <c r="O59" s="4"/>
      <c r="P59" s="18"/>
      <c r="Q59" s="18"/>
      <c r="R59" s="18"/>
      <c r="S59" s="5"/>
      <c r="T59" s="5"/>
    </row>
    <row r="60" spans="1:20" x14ac:dyDescent="0.2">
      <c r="A60" s="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N60" s="18"/>
      <c r="O60" s="4"/>
      <c r="P60" s="18"/>
      <c r="Q60" s="18"/>
      <c r="R60" s="18"/>
      <c r="S60" s="5"/>
      <c r="T60" s="5"/>
    </row>
    <row r="61" spans="1:20" ht="12" thickBot="1" x14ac:dyDescent="0.25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2"/>
      <c r="N61" s="12"/>
      <c r="O61" s="12"/>
      <c r="P61" s="4"/>
    </row>
    <row r="63" spans="1:20" x14ac:dyDescent="0.2">
      <c r="A63" s="1" t="s">
        <v>37</v>
      </c>
      <c r="B63" s="84">
        <f>IF(B57&lt;25000,B57,25000)</f>
        <v>0</v>
      </c>
      <c r="C63" s="84">
        <f>IF(+B57&gt;25000,0,IF(B57+C57&gt;25000,(25000-B57),C57))</f>
        <v>0</v>
      </c>
      <c r="D63" s="84">
        <f>IF(+B57+C57&gt;25000,0,IF(B57+C57+D57&gt;25000,(25000-(B57+C57)),D57))</f>
        <v>0</v>
      </c>
      <c r="E63" s="84">
        <f>IF(B57+C57+D57&gt;25000,0,IF(B57+C57+D57+E57&gt;25000,(25000-(B57+C57+D57)),E57))</f>
        <v>0</v>
      </c>
      <c r="F63" s="84">
        <f>IF(B57+C57+D57+E57&gt;25000,0,IF(B57+C57+D57+E57+F57&gt;25000,(25000-(B57+C57+D57+E57)),F57))</f>
        <v>0</v>
      </c>
      <c r="G63" s="84">
        <f t="shared" ref="G63:K63" si="20">IF(C57+D57+E57+F57&gt;25000,0,IF(C57+D57+E57+F57+G57&gt;25000,(25000-(C57+D57+E57+F57)),G57))</f>
        <v>0</v>
      </c>
      <c r="H63" s="84">
        <f t="shared" si="20"/>
        <v>0</v>
      </c>
      <c r="I63" s="84">
        <f t="shared" si="20"/>
        <v>0</v>
      </c>
      <c r="J63" s="84">
        <f t="shared" si="20"/>
        <v>0</v>
      </c>
      <c r="K63" s="84">
        <f t="shared" si="20"/>
        <v>0</v>
      </c>
      <c r="L63" s="17">
        <f>SUM(B63:K63)</f>
        <v>0</v>
      </c>
      <c r="M63" s="17"/>
      <c r="N63" s="1"/>
    </row>
    <row r="64" spans="1:20" x14ac:dyDescent="0.2">
      <c r="A64" s="1" t="s">
        <v>38</v>
      </c>
      <c r="B64" s="84">
        <f>+B57-B63</f>
        <v>0</v>
      </c>
      <c r="C64" s="84">
        <f>+C57-C63</f>
        <v>0</v>
      </c>
      <c r="D64" s="84">
        <f>+D57-D63</f>
        <v>0</v>
      </c>
      <c r="E64" s="84">
        <f>+E57-E63</f>
        <v>0</v>
      </c>
      <c r="F64" s="84">
        <f>+F57-F63</f>
        <v>0</v>
      </c>
      <c r="G64" s="84">
        <f t="shared" ref="G64:K64" si="21">+G57-G63</f>
        <v>0</v>
      </c>
      <c r="H64" s="84">
        <f t="shared" si="21"/>
        <v>0</v>
      </c>
      <c r="I64" s="84">
        <f t="shared" si="21"/>
        <v>0</v>
      </c>
      <c r="J64" s="84">
        <f t="shared" si="21"/>
        <v>0</v>
      </c>
      <c r="K64" s="84">
        <f t="shared" si="21"/>
        <v>0</v>
      </c>
      <c r="L64" s="17">
        <f>SUM(B64:K64)</f>
        <v>0</v>
      </c>
      <c r="M64" s="17"/>
      <c r="N64" s="1"/>
    </row>
    <row r="65" spans="2:12" x14ac:dyDescent="0.2">
      <c r="C65" s="5"/>
      <c r="L65" s="17"/>
    </row>
    <row r="66" spans="2:12" x14ac:dyDescent="0.2">
      <c r="B66" s="5">
        <f>SUM(B63:B64)</f>
        <v>0</v>
      </c>
      <c r="C66" s="5">
        <f>SUM(C63:C64)</f>
        <v>0</v>
      </c>
      <c r="D66" s="5">
        <f t="shared" ref="D66:F66" si="22">SUM(D63:D64)</f>
        <v>0</v>
      </c>
      <c r="E66" s="5">
        <f t="shared" si="22"/>
        <v>0</v>
      </c>
      <c r="F66" s="5">
        <f t="shared" si="22"/>
        <v>0</v>
      </c>
      <c r="G66" s="5">
        <f t="shared" ref="G66:K66" si="23">SUM(G63:G64)</f>
        <v>0</v>
      </c>
      <c r="H66" s="5">
        <f t="shared" si="23"/>
        <v>0</v>
      </c>
      <c r="I66" s="5">
        <f t="shared" si="23"/>
        <v>0</v>
      </c>
      <c r="J66" s="5">
        <f t="shared" si="23"/>
        <v>0</v>
      </c>
      <c r="K66" s="5">
        <f t="shared" si="23"/>
        <v>0</v>
      </c>
      <c r="L66" s="17">
        <f>SUM(B66:K66)</f>
        <v>0</v>
      </c>
    </row>
  </sheetData>
  <pageMargins left="0.75" right="0.53" top="0.7" bottom="0.64" header="0.5" footer="0.5"/>
  <pageSetup scale="9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1"/>
  <sheetViews>
    <sheetView workbookViewId="0"/>
  </sheetViews>
  <sheetFormatPr defaultColWidth="8.7109375" defaultRowHeight="15" x14ac:dyDescent="0.25"/>
  <cols>
    <col min="1" max="1" width="26.28515625" style="268" customWidth="1"/>
    <col min="2" max="2" width="26.42578125" style="268" customWidth="1"/>
    <col min="3" max="13" width="14.7109375" style="268" customWidth="1"/>
    <col min="14" max="14" width="20.85546875" style="268" bestFit="1" customWidth="1"/>
    <col min="15" max="15" width="38.42578125" style="268" customWidth="1"/>
    <col min="16" max="16" width="10.85546875" style="268" customWidth="1"/>
    <col min="17" max="16384" width="8.7109375" style="268"/>
  </cols>
  <sheetData>
    <row r="1" spans="1:18" s="286" customFormat="1" x14ac:dyDescent="0.25">
      <c r="A1" s="278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2" spans="1:18" s="286" customFormat="1" ht="15.75" thickBot="1" x14ac:dyDescent="0.3">
      <c r="A2" s="299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2"/>
      <c r="N2" s="282"/>
      <c r="O2" s="304" t="s">
        <v>163</v>
      </c>
      <c r="P2" s="303" t="s">
        <v>162</v>
      </c>
      <c r="Q2" s="303" t="s">
        <v>161</v>
      </c>
      <c r="R2" s="303" t="s">
        <v>5</v>
      </c>
    </row>
    <row r="3" spans="1:18" x14ac:dyDescent="0.25">
      <c r="A3" s="299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2"/>
      <c r="N3" s="282"/>
      <c r="O3" s="302"/>
      <c r="P3" s="292">
        <v>0</v>
      </c>
      <c r="Q3" s="301">
        <v>0</v>
      </c>
      <c r="R3" s="292">
        <f>P3*Q3</f>
        <v>0</v>
      </c>
    </row>
    <row r="4" spans="1:18" x14ac:dyDescent="0.25">
      <c r="A4" s="299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2"/>
      <c r="N4" s="282"/>
      <c r="O4" s="300"/>
      <c r="P4" s="294">
        <v>0</v>
      </c>
      <c r="Q4" s="293">
        <v>0</v>
      </c>
      <c r="R4" s="292">
        <f>P4*Q4</f>
        <v>0</v>
      </c>
    </row>
    <row r="5" spans="1:18" hidden="1" x14ac:dyDescent="0.25">
      <c r="A5" s="299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2"/>
      <c r="N5" s="282"/>
      <c r="O5" s="295"/>
      <c r="P5" s="294"/>
      <c r="Q5" s="293"/>
      <c r="R5" s="292">
        <f>P5*Q5</f>
        <v>0</v>
      </c>
    </row>
    <row r="6" spans="1:18" x14ac:dyDescent="0.25">
      <c r="A6" s="299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82"/>
      <c r="N6" s="282"/>
      <c r="O6" s="295"/>
      <c r="P6" s="294">
        <v>0</v>
      </c>
      <c r="Q6" s="293">
        <v>0</v>
      </c>
      <c r="R6" s="292">
        <f>P6*Q6</f>
        <v>0</v>
      </c>
    </row>
    <row r="7" spans="1:18" ht="15.75" x14ac:dyDescent="0.25">
      <c r="A7" s="274"/>
      <c r="B7" s="297"/>
      <c r="C7" s="297"/>
      <c r="D7" s="297"/>
      <c r="E7" s="297"/>
      <c r="M7" s="282"/>
      <c r="N7" s="282"/>
      <c r="O7" s="295"/>
      <c r="P7" s="294">
        <v>0</v>
      </c>
      <c r="Q7" s="293">
        <v>0</v>
      </c>
      <c r="R7" s="292">
        <f>P7*Q7</f>
        <v>0</v>
      </c>
    </row>
    <row r="8" spans="1:18" ht="60" x14ac:dyDescent="0.25">
      <c r="A8" s="274"/>
      <c r="B8" s="247" t="s">
        <v>142</v>
      </c>
      <c r="C8" s="291"/>
      <c r="D8" s="296" t="s">
        <v>160</v>
      </c>
      <c r="E8" s="291"/>
      <c r="M8" s="282"/>
      <c r="N8" s="282"/>
      <c r="O8" s="295" t="s">
        <v>159</v>
      </c>
      <c r="P8" s="294"/>
      <c r="Q8" s="293"/>
      <c r="R8" s="292">
        <f>SUM(R3:R7)</f>
        <v>0</v>
      </c>
    </row>
    <row r="9" spans="1:18" ht="15.75" hidden="1" x14ac:dyDescent="0.25">
      <c r="A9" s="274"/>
      <c r="B9" s="291"/>
      <c r="C9" s="291"/>
      <c r="D9" s="291"/>
      <c r="E9" s="291"/>
      <c r="M9" s="282"/>
      <c r="N9" s="282"/>
      <c r="O9" s="278"/>
      <c r="P9" s="280"/>
      <c r="Q9" s="279"/>
      <c r="R9" s="278"/>
    </row>
    <row r="10" spans="1:18" ht="15.75" x14ac:dyDescent="0.25">
      <c r="A10" s="274"/>
      <c r="B10" s="291"/>
      <c r="C10" s="291"/>
      <c r="D10" s="291"/>
      <c r="E10" s="291"/>
      <c r="M10" s="282"/>
      <c r="N10" s="282"/>
      <c r="O10" s="278"/>
      <c r="P10" s="280"/>
      <c r="Q10" s="279"/>
      <c r="R10" s="278"/>
    </row>
    <row r="11" spans="1:18" ht="16.5" thickBot="1" x14ac:dyDescent="0.3">
      <c r="A11" s="274"/>
      <c r="B11" s="291"/>
      <c r="C11" s="291"/>
      <c r="D11" s="291"/>
      <c r="E11" s="291"/>
      <c r="M11" s="282"/>
      <c r="N11" s="282"/>
      <c r="O11" s="278"/>
      <c r="P11" s="280"/>
      <c r="Q11" s="279"/>
      <c r="R11" s="278"/>
    </row>
    <row r="12" spans="1:18" ht="15.75" x14ac:dyDescent="0.25">
      <c r="A12" s="274"/>
      <c r="B12" s="285" t="s">
        <v>158</v>
      </c>
      <c r="C12" s="284" t="s">
        <v>153</v>
      </c>
      <c r="D12" s="284" t="s">
        <v>152</v>
      </c>
      <c r="E12" s="284" t="s">
        <v>151</v>
      </c>
      <c r="F12" s="284" t="s">
        <v>150</v>
      </c>
      <c r="G12" s="284" t="s">
        <v>167</v>
      </c>
      <c r="H12" s="284" t="s">
        <v>190</v>
      </c>
      <c r="I12" s="284" t="s">
        <v>191</v>
      </c>
      <c r="J12" s="284" t="s">
        <v>192</v>
      </c>
      <c r="K12" s="284" t="s">
        <v>193</v>
      </c>
      <c r="L12" s="284" t="s">
        <v>194</v>
      </c>
      <c r="M12" s="283" t="s">
        <v>5</v>
      </c>
      <c r="N12" s="282"/>
      <c r="O12" s="278"/>
      <c r="P12" s="280"/>
      <c r="Q12" s="279"/>
      <c r="R12" s="278"/>
    </row>
    <row r="13" spans="1:18" ht="15.75" x14ac:dyDescent="0.25">
      <c r="A13" s="274"/>
      <c r="B13" s="277" t="s">
        <v>157</v>
      </c>
      <c r="C13" s="276">
        <f>'Budget Summary'!O117</f>
        <v>0</v>
      </c>
      <c r="D13" s="276">
        <f>'Budget Summary'!P117</f>
        <v>0</v>
      </c>
      <c r="E13" s="276">
        <f>'Budget Summary'!Q117</f>
        <v>0</v>
      </c>
      <c r="F13" s="276">
        <f>'Budget Summary'!R117</f>
        <v>0</v>
      </c>
      <c r="G13" s="276">
        <f>'Budget Summary'!S117</f>
        <v>0</v>
      </c>
      <c r="H13" s="276">
        <f>'Budget Summary'!T117</f>
        <v>0</v>
      </c>
      <c r="I13" s="276">
        <f>'Budget Summary'!U117</f>
        <v>0</v>
      </c>
      <c r="J13" s="276">
        <f>'Budget Summary'!V117</f>
        <v>0</v>
      </c>
      <c r="K13" s="276">
        <f>'Budget Summary'!W117</f>
        <v>0</v>
      </c>
      <c r="L13" s="276">
        <f>'Budget Summary'!X117</f>
        <v>0</v>
      </c>
      <c r="M13" s="275">
        <f>SUM(C13:L13)</f>
        <v>0</v>
      </c>
      <c r="N13" s="282"/>
      <c r="O13" s="278"/>
      <c r="P13" s="280"/>
      <c r="Q13" s="279"/>
      <c r="R13" s="278"/>
    </row>
    <row r="14" spans="1:18" ht="15.75" x14ac:dyDescent="0.25">
      <c r="A14" s="274"/>
      <c r="B14" s="277" t="s">
        <v>156</v>
      </c>
      <c r="C14" s="276">
        <f>'Budget Summary'!O118</f>
        <v>0</v>
      </c>
      <c r="D14" s="276">
        <f>'Budget Summary'!P118</f>
        <v>0</v>
      </c>
      <c r="E14" s="276">
        <f>'Budget Summary'!Q118</f>
        <v>0</v>
      </c>
      <c r="F14" s="276">
        <f>'Budget Summary'!R118</f>
        <v>0</v>
      </c>
      <c r="G14" s="276">
        <f>'Budget Summary'!S118</f>
        <v>0</v>
      </c>
      <c r="H14" s="276">
        <f>'Budget Summary'!T118</f>
        <v>0</v>
      </c>
      <c r="I14" s="276">
        <f>'Budget Summary'!U118</f>
        <v>0</v>
      </c>
      <c r="J14" s="276">
        <f>'Budget Summary'!V118</f>
        <v>0</v>
      </c>
      <c r="K14" s="276">
        <f>'Budget Summary'!W118</f>
        <v>0</v>
      </c>
      <c r="L14" s="276">
        <f>'Budget Summary'!X118</f>
        <v>0</v>
      </c>
      <c r="M14" s="275">
        <f>SUM(C14:L14)</f>
        <v>0</v>
      </c>
      <c r="P14" s="270"/>
      <c r="Q14" s="269"/>
    </row>
    <row r="15" spans="1:18" ht="16.5" thickBot="1" x14ac:dyDescent="0.3">
      <c r="A15" s="274"/>
      <c r="B15" s="273" t="s">
        <v>155</v>
      </c>
      <c r="C15" s="272">
        <f t="shared" ref="C15:G15" si="0">SUM(C13:C14)</f>
        <v>0</v>
      </c>
      <c r="D15" s="272">
        <f t="shared" si="0"/>
        <v>0</v>
      </c>
      <c r="E15" s="272">
        <f t="shared" si="0"/>
        <v>0</v>
      </c>
      <c r="F15" s="272">
        <f t="shared" si="0"/>
        <v>0</v>
      </c>
      <c r="G15" s="272">
        <f t="shared" si="0"/>
        <v>0</v>
      </c>
      <c r="H15" s="272">
        <f t="shared" ref="H15:L15" si="1">SUM(H13:H14)</f>
        <v>0</v>
      </c>
      <c r="I15" s="272">
        <f t="shared" si="1"/>
        <v>0</v>
      </c>
      <c r="J15" s="272">
        <f t="shared" si="1"/>
        <v>0</v>
      </c>
      <c r="K15" s="272">
        <f t="shared" si="1"/>
        <v>0</v>
      </c>
      <c r="L15" s="272">
        <f t="shared" si="1"/>
        <v>0</v>
      </c>
      <c r="M15" s="271">
        <f>SUM(C15:L15)</f>
        <v>0</v>
      </c>
      <c r="P15" s="270"/>
      <c r="Q15" s="269"/>
    </row>
    <row r="16" spans="1:18" x14ac:dyDescent="0.25">
      <c r="M16" s="290"/>
      <c r="N16" s="290"/>
      <c r="P16" s="270"/>
      <c r="Q16" s="269"/>
    </row>
    <row r="17" spans="1:18" s="286" customFormat="1" ht="15.75" thickBot="1" x14ac:dyDescent="0.3">
      <c r="A17" s="268"/>
      <c r="B17" s="268"/>
      <c r="C17" s="268"/>
      <c r="D17" s="268"/>
      <c r="E17" s="268"/>
      <c r="N17" s="289"/>
      <c r="P17" s="288"/>
      <c r="Q17" s="287"/>
    </row>
    <row r="18" spans="1:18" ht="15.75" x14ac:dyDescent="0.25">
      <c r="A18" s="274"/>
      <c r="B18" s="285" t="s">
        <v>154</v>
      </c>
      <c r="C18" s="284" t="s">
        <v>153</v>
      </c>
      <c r="D18" s="284" t="s">
        <v>152</v>
      </c>
      <c r="E18" s="284" t="s">
        <v>151</v>
      </c>
      <c r="F18" s="284" t="s">
        <v>150</v>
      </c>
      <c r="G18" s="284" t="s">
        <v>167</v>
      </c>
      <c r="H18" s="284" t="s">
        <v>190</v>
      </c>
      <c r="I18" s="284" t="s">
        <v>191</v>
      </c>
      <c r="J18" s="284" t="s">
        <v>192</v>
      </c>
      <c r="K18" s="284" t="s">
        <v>193</v>
      </c>
      <c r="L18" s="284" t="s">
        <v>194</v>
      </c>
      <c r="M18" s="283" t="s">
        <v>5</v>
      </c>
      <c r="N18" s="282"/>
      <c r="O18" s="278"/>
      <c r="P18" s="280"/>
      <c r="Q18" s="279"/>
      <c r="R18" s="278"/>
    </row>
    <row r="19" spans="1:18" ht="15.75" x14ac:dyDescent="0.25">
      <c r="A19" s="274"/>
      <c r="B19" s="277" t="s">
        <v>149</v>
      </c>
      <c r="C19" s="276">
        <f>'Budget Summary'!O119</f>
        <v>0</v>
      </c>
      <c r="D19" s="276">
        <f>'Budget Summary'!P119</f>
        <v>0</v>
      </c>
      <c r="E19" s="276">
        <f>'Budget Summary'!Q119</f>
        <v>0</v>
      </c>
      <c r="F19" s="276">
        <f>'Budget Summary'!R119</f>
        <v>0</v>
      </c>
      <c r="G19" s="276">
        <f>'Budget Summary'!S119</f>
        <v>0</v>
      </c>
      <c r="H19" s="276">
        <f>'Budget Summary'!T119</f>
        <v>0</v>
      </c>
      <c r="I19" s="276">
        <f>'Budget Summary'!U119</f>
        <v>0</v>
      </c>
      <c r="J19" s="276">
        <f>'Budget Summary'!V119</f>
        <v>0</v>
      </c>
      <c r="K19" s="276">
        <f>'Budget Summary'!W119</f>
        <v>0</v>
      </c>
      <c r="L19" s="276">
        <f>'Budget Summary'!X119</f>
        <v>0</v>
      </c>
      <c r="M19" s="275">
        <f>SUM(C19:L19)</f>
        <v>0</v>
      </c>
      <c r="N19" s="281"/>
      <c r="O19" s="278"/>
      <c r="P19" s="280"/>
      <c r="Q19" s="279"/>
      <c r="R19" s="278"/>
    </row>
    <row r="20" spans="1:18" ht="15.75" x14ac:dyDescent="0.25">
      <c r="A20" s="274"/>
      <c r="B20" s="277" t="s">
        <v>148</v>
      </c>
      <c r="C20" s="276">
        <f>'Budget Summary'!O120</f>
        <v>0</v>
      </c>
      <c r="D20" s="276">
        <f>'Budget Summary'!P120</f>
        <v>0</v>
      </c>
      <c r="E20" s="276">
        <f>'Budget Summary'!Q120</f>
        <v>0</v>
      </c>
      <c r="F20" s="276">
        <f>'Budget Summary'!R120</f>
        <v>0</v>
      </c>
      <c r="G20" s="276">
        <f>'Budget Summary'!S120</f>
        <v>0</v>
      </c>
      <c r="H20" s="276">
        <f>'Budget Summary'!T120</f>
        <v>0</v>
      </c>
      <c r="I20" s="276">
        <f>'Budget Summary'!U120</f>
        <v>0</v>
      </c>
      <c r="J20" s="276">
        <f>'Budget Summary'!V120</f>
        <v>0</v>
      </c>
      <c r="K20" s="276">
        <f>'Budget Summary'!W120</f>
        <v>0</v>
      </c>
      <c r="L20" s="276">
        <f>'Budget Summary'!X120</f>
        <v>0</v>
      </c>
      <c r="M20" s="275">
        <f>SUM(C20:L20)</f>
        <v>0</v>
      </c>
      <c r="P20" s="270"/>
      <c r="Q20" s="269"/>
    </row>
    <row r="21" spans="1:18" ht="16.5" thickBot="1" x14ac:dyDescent="0.3">
      <c r="A21" s="274"/>
      <c r="B21" s="273" t="s">
        <v>168</v>
      </c>
      <c r="C21" s="272">
        <f t="shared" ref="C21:G21" si="2">SUM(C19:C20)</f>
        <v>0</v>
      </c>
      <c r="D21" s="272">
        <f t="shared" si="2"/>
        <v>0</v>
      </c>
      <c r="E21" s="272">
        <f t="shared" si="2"/>
        <v>0</v>
      </c>
      <c r="F21" s="272">
        <f t="shared" si="2"/>
        <v>0</v>
      </c>
      <c r="G21" s="272">
        <f t="shared" si="2"/>
        <v>0</v>
      </c>
      <c r="H21" s="272">
        <f t="shared" ref="H21:L21" si="3">SUM(H19:H20)</f>
        <v>0</v>
      </c>
      <c r="I21" s="272">
        <f t="shared" si="3"/>
        <v>0</v>
      </c>
      <c r="J21" s="272">
        <f t="shared" si="3"/>
        <v>0</v>
      </c>
      <c r="K21" s="272">
        <f t="shared" si="3"/>
        <v>0</v>
      </c>
      <c r="L21" s="272">
        <f t="shared" si="3"/>
        <v>0</v>
      </c>
      <c r="M21" s="271">
        <f>SUM(C21:L21)</f>
        <v>0</v>
      </c>
      <c r="P21" s="270"/>
      <c r="Q21" s="269"/>
    </row>
  </sheetData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99"/>
  <sheetViews>
    <sheetView workbookViewId="0">
      <selection sqref="A1:N1"/>
    </sheetView>
  </sheetViews>
  <sheetFormatPr defaultColWidth="9.140625" defaultRowHeight="15" x14ac:dyDescent="0.25"/>
  <cols>
    <col min="1" max="1" width="19.7109375" style="248" customWidth="1"/>
    <col min="2" max="2" width="11.28515625" style="248" bestFit="1" customWidth="1"/>
    <col min="3" max="3" width="9.7109375" style="249" bestFit="1" customWidth="1"/>
    <col min="4" max="4" width="4.28515625" style="250" bestFit="1" customWidth="1"/>
    <col min="5" max="5" width="11.7109375" style="250" bestFit="1" customWidth="1"/>
    <col min="6" max="6" width="8.28515625" style="250" bestFit="1" customWidth="1"/>
    <col min="7" max="7" width="6.7109375" style="250" bestFit="1" customWidth="1"/>
    <col min="8" max="8" width="11.85546875" style="250" bestFit="1" customWidth="1"/>
    <col min="9" max="9" width="5.140625" style="250" bestFit="1" customWidth="1"/>
    <col min="10" max="10" width="9.140625" style="250" bestFit="1" customWidth="1"/>
    <col min="11" max="11" width="9.140625" style="250" customWidth="1"/>
    <col min="12" max="12" width="9.85546875" style="249" bestFit="1" customWidth="1"/>
    <col min="13" max="13" width="5.28515625" style="249" bestFit="1" customWidth="1"/>
    <col min="14" max="14" width="9.5703125" style="249" customWidth="1"/>
    <col min="15" max="16384" width="9.140625" style="249"/>
  </cols>
  <sheetData>
    <row r="1" spans="1:14" x14ac:dyDescent="0.25">
      <c r="A1" s="448" t="s">
        <v>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50"/>
    </row>
    <row r="2" spans="1:14" ht="30.75" customHeight="1" x14ac:dyDescent="0.25">
      <c r="A2" s="266" t="s">
        <v>180</v>
      </c>
      <c r="B2" s="266" t="s">
        <v>179</v>
      </c>
      <c r="C2" s="266" t="s">
        <v>169</v>
      </c>
      <c r="D2" s="266" t="s">
        <v>175</v>
      </c>
      <c r="E2" s="266" t="s">
        <v>63</v>
      </c>
      <c r="F2" s="266" t="s">
        <v>170</v>
      </c>
      <c r="G2" s="266" t="s">
        <v>171</v>
      </c>
      <c r="H2" s="266" t="s">
        <v>176</v>
      </c>
      <c r="I2" s="266" t="s">
        <v>172</v>
      </c>
      <c r="J2" s="266" t="s">
        <v>177</v>
      </c>
      <c r="K2" s="266" t="s">
        <v>224</v>
      </c>
      <c r="L2" s="266" t="s">
        <v>173</v>
      </c>
      <c r="M2" s="267" t="s">
        <v>174</v>
      </c>
      <c r="N2" s="266" t="s">
        <v>178</v>
      </c>
    </row>
    <row r="3" spans="1:14" ht="30" x14ac:dyDescent="0.25">
      <c r="A3" s="254" t="s">
        <v>222</v>
      </c>
      <c r="B3" s="254" t="s">
        <v>223</v>
      </c>
      <c r="C3" s="255" t="s">
        <v>143</v>
      </c>
      <c r="D3" s="256">
        <v>1</v>
      </c>
      <c r="E3" s="257">
        <v>700</v>
      </c>
      <c r="F3" s="257">
        <v>700</v>
      </c>
      <c r="G3" s="256">
        <v>4</v>
      </c>
      <c r="H3" s="257">
        <v>163.75</v>
      </c>
      <c r="I3" s="258">
        <f>G3+1</f>
        <v>5</v>
      </c>
      <c r="J3" s="257">
        <v>69</v>
      </c>
      <c r="K3" s="257">
        <f>20*I3</f>
        <v>100</v>
      </c>
      <c r="L3" s="259">
        <f>(D3*SUM((E3+F3)+(G3*H3)+(I3*J3))+K3)</f>
        <v>2500</v>
      </c>
      <c r="M3" s="260">
        <v>1</v>
      </c>
      <c r="N3" s="265">
        <f>L3*M3</f>
        <v>2500</v>
      </c>
    </row>
    <row r="4" spans="1:14" x14ac:dyDescent="0.25">
      <c r="A4" s="254" t="s">
        <v>225</v>
      </c>
      <c r="B4" s="254" t="s">
        <v>223</v>
      </c>
      <c r="C4" s="255" t="s">
        <v>143</v>
      </c>
      <c r="D4" s="256">
        <v>1</v>
      </c>
      <c r="E4" s="257">
        <v>850</v>
      </c>
      <c r="F4" s="257">
        <v>1725</v>
      </c>
      <c r="G4" s="256">
        <v>4</v>
      </c>
      <c r="H4" s="257">
        <v>200</v>
      </c>
      <c r="I4" s="258">
        <f>G4+1</f>
        <v>5</v>
      </c>
      <c r="J4" s="257">
        <v>100</v>
      </c>
      <c r="K4" s="257">
        <f>25*I4</f>
        <v>125</v>
      </c>
      <c r="L4" s="259">
        <f>(D4*SUM((E4+F4)+(G4*H4)+(I4*J4))+K4)</f>
        <v>4000</v>
      </c>
      <c r="M4" s="260">
        <v>1</v>
      </c>
      <c r="N4" s="265">
        <f>L4*M4</f>
        <v>4000</v>
      </c>
    </row>
    <row r="5" spans="1:14" x14ac:dyDescent="0.25">
      <c r="A5" s="254"/>
      <c r="B5" s="254"/>
      <c r="C5" s="255" t="s">
        <v>143</v>
      </c>
      <c r="D5" s="256">
        <v>0</v>
      </c>
      <c r="E5" s="257">
        <v>0</v>
      </c>
      <c r="F5" s="257">
        <v>0</v>
      </c>
      <c r="G5" s="256">
        <v>4</v>
      </c>
      <c r="H5" s="257">
        <v>0</v>
      </c>
      <c r="I5" s="258">
        <f>G5+1</f>
        <v>5</v>
      </c>
      <c r="J5" s="257">
        <v>0</v>
      </c>
      <c r="K5" s="257"/>
      <c r="L5" s="259">
        <f t="shared" ref="L5:L7" si="0">(D5*SUM((E5+F5)+(G5*H5)+(I5*J5))+K5)</f>
        <v>0</v>
      </c>
      <c r="M5" s="260">
        <v>1</v>
      </c>
      <c r="N5" s="265">
        <f>L5*M5</f>
        <v>0</v>
      </c>
    </row>
    <row r="6" spans="1:14" x14ac:dyDescent="0.25">
      <c r="A6" s="254"/>
      <c r="B6" s="254"/>
      <c r="C6" s="255" t="s">
        <v>143</v>
      </c>
      <c r="D6" s="256">
        <v>0</v>
      </c>
      <c r="E6" s="257">
        <v>0</v>
      </c>
      <c r="F6" s="257">
        <v>0</v>
      </c>
      <c r="G6" s="256">
        <v>4</v>
      </c>
      <c r="H6" s="257">
        <v>0</v>
      </c>
      <c r="I6" s="258">
        <f>G6+1</f>
        <v>5</v>
      </c>
      <c r="J6" s="257">
        <v>0</v>
      </c>
      <c r="K6" s="257"/>
      <c r="L6" s="259">
        <f t="shared" si="0"/>
        <v>0</v>
      </c>
      <c r="M6" s="260">
        <v>1</v>
      </c>
      <c r="N6" s="265">
        <f>L6*M6</f>
        <v>0</v>
      </c>
    </row>
    <row r="7" spans="1:14" ht="15.75" thickBot="1" x14ac:dyDescent="0.3">
      <c r="A7" s="254"/>
      <c r="B7" s="254"/>
      <c r="C7" s="255" t="s">
        <v>143</v>
      </c>
      <c r="D7" s="256">
        <v>0</v>
      </c>
      <c r="E7" s="257">
        <v>0</v>
      </c>
      <c r="F7" s="257">
        <v>0</v>
      </c>
      <c r="G7" s="256">
        <v>4</v>
      </c>
      <c r="H7" s="257">
        <v>0</v>
      </c>
      <c r="I7" s="258">
        <f>G7+1</f>
        <v>5</v>
      </c>
      <c r="J7" s="257">
        <v>0</v>
      </c>
      <c r="K7" s="257"/>
      <c r="L7" s="259">
        <f t="shared" si="0"/>
        <v>0</v>
      </c>
      <c r="M7" s="260">
        <v>1</v>
      </c>
      <c r="N7" s="265">
        <f>L7*M7</f>
        <v>0</v>
      </c>
    </row>
    <row r="8" spans="1:14" ht="15.75" thickBot="1" x14ac:dyDescent="0.3">
      <c r="A8" s="251"/>
      <c r="B8" s="251"/>
      <c r="C8" s="252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61">
        <f>SUM(N3:N7)</f>
        <v>6500</v>
      </c>
    </row>
    <row r="11" spans="1:14" x14ac:dyDescent="0.25">
      <c r="A11" s="448" t="s">
        <v>2</v>
      </c>
      <c r="B11" s="449"/>
      <c r="C11" s="449"/>
      <c r="D11" s="449"/>
      <c r="E11" s="449"/>
      <c r="F11" s="449"/>
      <c r="G11" s="449"/>
      <c r="H11" s="449"/>
      <c r="I11" s="449"/>
      <c r="J11" s="449"/>
      <c r="K11" s="449"/>
      <c r="L11" s="449"/>
      <c r="M11" s="449"/>
      <c r="N11" s="450"/>
    </row>
    <row r="12" spans="1:14" ht="33" customHeight="1" x14ac:dyDescent="0.25">
      <c r="A12" s="266" t="s">
        <v>180</v>
      </c>
      <c r="B12" s="266" t="s">
        <v>179</v>
      </c>
      <c r="C12" s="266" t="s">
        <v>169</v>
      </c>
      <c r="D12" s="266" t="s">
        <v>175</v>
      </c>
      <c r="E12" s="266" t="s">
        <v>63</v>
      </c>
      <c r="F12" s="266" t="s">
        <v>170</v>
      </c>
      <c r="G12" s="266" t="s">
        <v>171</v>
      </c>
      <c r="H12" s="266" t="s">
        <v>176</v>
      </c>
      <c r="I12" s="266" t="s">
        <v>172</v>
      </c>
      <c r="J12" s="266" t="s">
        <v>177</v>
      </c>
      <c r="K12" s="266" t="s">
        <v>224</v>
      </c>
      <c r="L12" s="266" t="s">
        <v>173</v>
      </c>
      <c r="M12" s="267" t="s">
        <v>174</v>
      </c>
      <c r="N12" s="266" t="s">
        <v>178</v>
      </c>
    </row>
    <row r="13" spans="1:14" x14ac:dyDescent="0.25">
      <c r="A13" s="254"/>
      <c r="B13" s="254"/>
      <c r="C13" s="255" t="s">
        <v>143</v>
      </c>
      <c r="D13" s="256">
        <v>0</v>
      </c>
      <c r="E13" s="257">
        <v>0</v>
      </c>
      <c r="F13" s="257">
        <v>0</v>
      </c>
      <c r="G13" s="256">
        <v>4</v>
      </c>
      <c r="H13" s="257">
        <v>0</v>
      </c>
      <c r="I13" s="258">
        <f>G13+1</f>
        <v>5</v>
      </c>
      <c r="J13" s="257">
        <v>0</v>
      </c>
      <c r="K13" s="257"/>
      <c r="L13" s="259">
        <f>(D13*SUM((E13+F13)+(G13*H13)+(I13*J13))+K13)</f>
        <v>0</v>
      </c>
      <c r="M13" s="260">
        <v>1</v>
      </c>
      <c r="N13" s="265">
        <f>L13*M13</f>
        <v>0</v>
      </c>
    </row>
    <row r="14" spans="1:14" x14ac:dyDescent="0.25">
      <c r="A14" s="254"/>
      <c r="B14" s="254"/>
      <c r="C14" s="255" t="s">
        <v>143</v>
      </c>
      <c r="D14" s="256">
        <v>0</v>
      </c>
      <c r="E14" s="257">
        <v>0</v>
      </c>
      <c r="F14" s="257">
        <v>0</v>
      </c>
      <c r="G14" s="256">
        <v>4</v>
      </c>
      <c r="H14" s="257">
        <v>0</v>
      </c>
      <c r="I14" s="258">
        <f>G14+1</f>
        <v>5</v>
      </c>
      <c r="J14" s="257">
        <v>0</v>
      </c>
      <c r="K14" s="257"/>
      <c r="L14" s="259">
        <f>(D14*SUM((E14+F14)+(G14*H14)+(I14*J14))+K14)</f>
        <v>0</v>
      </c>
      <c r="M14" s="260">
        <v>1</v>
      </c>
      <c r="N14" s="265">
        <f>L14*M14</f>
        <v>0</v>
      </c>
    </row>
    <row r="15" spans="1:14" x14ac:dyDescent="0.25">
      <c r="A15" s="254"/>
      <c r="B15" s="254"/>
      <c r="C15" s="255" t="s">
        <v>143</v>
      </c>
      <c r="D15" s="256">
        <v>0</v>
      </c>
      <c r="E15" s="257">
        <v>0</v>
      </c>
      <c r="F15" s="257">
        <v>0</v>
      </c>
      <c r="G15" s="256">
        <v>4</v>
      </c>
      <c r="H15" s="257">
        <v>0</v>
      </c>
      <c r="I15" s="258">
        <f>G15+1</f>
        <v>5</v>
      </c>
      <c r="J15" s="257">
        <v>0</v>
      </c>
      <c r="K15" s="257"/>
      <c r="L15" s="259">
        <f t="shared" ref="L15:L17" si="1">(D15*SUM((E15+F15)+(G15*H15)+(I15*J15))+K15)</f>
        <v>0</v>
      </c>
      <c r="M15" s="260">
        <v>1</v>
      </c>
      <c r="N15" s="265">
        <f>L15*M15</f>
        <v>0</v>
      </c>
    </row>
    <row r="16" spans="1:14" x14ac:dyDescent="0.25">
      <c r="A16" s="254"/>
      <c r="B16" s="254"/>
      <c r="C16" s="255" t="s">
        <v>143</v>
      </c>
      <c r="D16" s="256">
        <v>0</v>
      </c>
      <c r="E16" s="257">
        <v>0</v>
      </c>
      <c r="F16" s="257">
        <v>0</v>
      </c>
      <c r="G16" s="256">
        <v>4</v>
      </c>
      <c r="H16" s="257">
        <v>0</v>
      </c>
      <c r="I16" s="258">
        <f>G16+1</f>
        <v>5</v>
      </c>
      <c r="J16" s="257">
        <v>0</v>
      </c>
      <c r="K16" s="257"/>
      <c r="L16" s="259">
        <f t="shared" si="1"/>
        <v>0</v>
      </c>
      <c r="M16" s="260">
        <v>1</v>
      </c>
      <c r="N16" s="265">
        <f>L16*M16</f>
        <v>0</v>
      </c>
    </row>
    <row r="17" spans="1:14" ht="15.75" thickBot="1" x14ac:dyDescent="0.3">
      <c r="A17" s="254"/>
      <c r="B17" s="254"/>
      <c r="C17" s="255" t="s">
        <v>143</v>
      </c>
      <c r="D17" s="256">
        <v>0</v>
      </c>
      <c r="E17" s="257">
        <v>0</v>
      </c>
      <c r="F17" s="257">
        <v>0</v>
      </c>
      <c r="G17" s="256">
        <v>4</v>
      </c>
      <c r="H17" s="257">
        <v>0</v>
      </c>
      <c r="I17" s="258">
        <f>G17+1</f>
        <v>5</v>
      </c>
      <c r="J17" s="257">
        <v>0</v>
      </c>
      <c r="K17" s="257"/>
      <c r="L17" s="259">
        <f t="shared" si="1"/>
        <v>0</v>
      </c>
      <c r="M17" s="260">
        <v>1</v>
      </c>
      <c r="N17" s="265">
        <f>L17*M17</f>
        <v>0</v>
      </c>
    </row>
    <row r="18" spans="1:14" ht="15.75" thickBot="1" x14ac:dyDescent="0.3">
      <c r="A18" s="251"/>
      <c r="B18" s="251"/>
      <c r="C18" s="252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61">
        <f>SUM(N13:N17)</f>
        <v>0</v>
      </c>
    </row>
    <row r="21" spans="1:14" x14ac:dyDescent="0.25">
      <c r="A21" s="448" t="s">
        <v>3</v>
      </c>
      <c r="B21" s="449"/>
      <c r="C21" s="449"/>
      <c r="D21" s="449"/>
      <c r="E21" s="449"/>
      <c r="F21" s="449"/>
      <c r="G21" s="449"/>
      <c r="H21" s="449"/>
      <c r="I21" s="449"/>
      <c r="J21" s="449"/>
      <c r="K21" s="449"/>
      <c r="L21" s="449"/>
      <c r="M21" s="449"/>
      <c r="N21" s="450"/>
    </row>
    <row r="22" spans="1:14" ht="33" customHeight="1" x14ac:dyDescent="0.25">
      <c r="A22" s="266" t="s">
        <v>180</v>
      </c>
      <c r="B22" s="266" t="s">
        <v>179</v>
      </c>
      <c r="C22" s="266" t="s">
        <v>169</v>
      </c>
      <c r="D22" s="266" t="s">
        <v>175</v>
      </c>
      <c r="E22" s="266" t="s">
        <v>63</v>
      </c>
      <c r="F22" s="266" t="s">
        <v>170</v>
      </c>
      <c r="G22" s="266" t="s">
        <v>171</v>
      </c>
      <c r="H22" s="266" t="s">
        <v>176</v>
      </c>
      <c r="I22" s="266" t="s">
        <v>172</v>
      </c>
      <c r="J22" s="266" t="s">
        <v>177</v>
      </c>
      <c r="K22" s="266" t="s">
        <v>224</v>
      </c>
      <c r="L22" s="266" t="s">
        <v>173</v>
      </c>
      <c r="M22" s="267" t="s">
        <v>174</v>
      </c>
      <c r="N22" s="266" t="s">
        <v>178</v>
      </c>
    </row>
    <row r="23" spans="1:14" x14ac:dyDescent="0.25">
      <c r="A23" s="254"/>
      <c r="B23" s="254"/>
      <c r="C23" s="255" t="s">
        <v>143</v>
      </c>
      <c r="D23" s="256">
        <v>0</v>
      </c>
      <c r="E23" s="257">
        <v>0</v>
      </c>
      <c r="F23" s="257">
        <v>0</v>
      </c>
      <c r="G23" s="256">
        <v>4</v>
      </c>
      <c r="H23" s="257">
        <v>0</v>
      </c>
      <c r="I23" s="258">
        <f>G23+1</f>
        <v>5</v>
      </c>
      <c r="J23" s="257">
        <v>0</v>
      </c>
      <c r="K23" s="257"/>
      <c r="L23" s="259">
        <f>(D23*SUM((E23+F23)+(G23*H23)+(I23*J23))+K23)</f>
        <v>0</v>
      </c>
      <c r="M23" s="260">
        <v>1</v>
      </c>
      <c r="N23" s="265">
        <f>L23*M23</f>
        <v>0</v>
      </c>
    </row>
    <row r="24" spans="1:14" x14ac:dyDescent="0.25">
      <c r="A24" s="254"/>
      <c r="B24" s="254"/>
      <c r="C24" s="255" t="s">
        <v>143</v>
      </c>
      <c r="D24" s="256">
        <v>0</v>
      </c>
      <c r="E24" s="257">
        <v>0</v>
      </c>
      <c r="F24" s="257">
        <v>0</v>
      </c>
      <c r="G24" s="256">
        <v>4</v>
      </c>
      <c r="H24" s="257">
        <v>0</v>
      </c>
      <c r="I24" s="258">
        <f>G24+1</f>
        <v>5</v>
      </c>
      <c r="J24" s="257">
        <v>0</v>
      </c>
      <c r="K24" s="257"/>
      <c r="L24" s="259">
        <f t="shared" ref="L24:L27" si="2">(D24*SUM((E24+F24)+(G24*H24)+(I24*J24))+K24)</f>
        <v>0</v>
      </c>
      <c r="M24" s="260">
        <v>1</v>
      </c>
      <c r="N24" s="265">
        <f>L24*M24</f>
        <v>0</v>
      </c>
    </row>
    <row r="25" spans="1:14" x14ac:dyDescent="0.25">
      <c r="A25" s="254"/>
      <c r="B25" s="254"/>
      <c r="C25" s="255" t="s">
        <v>143</v>
      </c>
      <c r="D25" s="256">
        <v>0</v>
      </c>
      <c r="E25" s="257">
        <v>0</v>
      </c>
      <c r="F25" s="257">
        <v>0</v>
      </c>
      <c r="G25" s="256">
        <v>4</v>
      </c>
      <c r="H25" s="257">
        <v>0</v>
      </c>
      <c r="I25" s="258">
        <f>G25+1</f>
        <v>5</v>
      </c>
      <c r="J25" s="257">
        <v>0</v>
      </c>
      <c r="K25" s="257"/>
      <c r="L25" s="259">
        <f t="shared" si="2"/>
        <v>0</v>
      </c>
      <c r="M25" s="260">
        <v>1</v>
      </c>
      <c r="N25" s="265">
        <f>L25*M25</f>
        <v>0</v>
      </c>
    </row>
    <row r="26" spans="1:14" x14ac:dyDescent="0.25">
      <c r="A26" s="254"/>
      <c r="B26" s="254"/>
      <c r="C26" s="255" t="s">
        <v>143</v>
      </c>
      <c r="D26" s="256">
        <v>0</v>
      </c>
      <c r="E26" s="257">
        <v>0</v>
      </c>
      <c r="F26" s="257">
        <v>0</v>
      </c>
      <c r="G26" s="256">
        <v>4</v>
      </c>
      <c r="H26" s="257">
        <v>0</v>
      </c>
      <c r="I26" s="258">
        <f>G26+1</f>
        <v>5</v>
      </c>
      <c r="J26" s="257">
        <v>0</v>
      </c>
      <c r="K26" s="257"/>
      <c r="L26" s="259">
        <f t="shared" si="2"/>
        <v>0</v>
      </c>
      <c r="M26" s="260">
        <v>1</v>
      </c>
      <c r="N26" s="265">
        <f>L26*M26</f>
        <v>0</v>
      </c>
    </row>
    <row r="27" spans="1:14" ht="15.75" thickBot="1" x14ac:dyDescent="0.3">
      <c r="A27" s="254"/>
      <c r="B27" s="254"/>
      <c r="C27" s="255" t="s">
        <v>143</v>
      </c>
      <c r="D27" s="256">
        <v>0</v>
      </c>
      <c r="E27" s="257">
        <v>0</v>
      </c>
      <c r="F27" s="257">
        <v>0</v>
      </c>
      <c r="G27" s="256">
        <v>4</v>
      </c>
      <c r="H27" s="257">
        <v>0</v>
      </c>
      <c r="I27" s="258">
        <f>G27+1</f>
        <v>5</v>
      </c>
      <c r="J27" s="257">
        <v>0</v>
      </c>
      <c r="K27" s="257"/>
      <c r="L27" s="259">
        <f t="shared" si="2"/>
        <v>0</v>
      </c>
      <c r="M27" s="260">
        <v>1</v>
      </c>
      <c r="N27" s="265">
        <f>L27*M27</f>
        <v>0</v>
      </c>
    </row>
    <row r="28" spans="1:14" ht="15.75" thickBot="1" x14ac:dyDescent="0.3">
      <c r="A28" s="251"/>
      <c r="B28" s="251"/>
      <c r="C28" s="252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61">
        <f>SUM(N23:N27)</f>
        <v>0</v>
      </c>
    </row>
    <row r="31" spans="1:14" x14ac:dyDescent="0.25">
      <c r="A31" s="448" t="s">
        <v>39</v>
      </c>
      <c r="B31" s="449"/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449"/>
      <c r="N31" s="450"/>
    </row>
    <row r="32" spans="1:14" ht="35.25" customHeight="1" x14ac:dyDescent="0.25">
      <c r="A32" s="266" t="s">
        <v>180</v>
      </c>
      <c r="B32" s="266" t="s">
        <v>179</v>
      </c>
      <c r="C32" s="266" t="s">
        <v>169</v>
      </c>
      <c r="D32" s="266" t="s">
        <v>175</v>
      </c>
      <c r="E32" s="266" t="s">
        <v>63</v>
      </c>
      <c r="F32" s="266" t="s">
        <v>170</v>
      </c>
      <c r="G32" s="266" t="s">
        <v>171</v>
      </c>
      <c r="H32" s="266" t="s">
        <v>176</v>
      </c>
      <c r="I32" s="266" t="s">
        <v>172</v>
      </c>
      <c r="J32" s="266" t="s">
        <v>177</v>
      </c>
      <c r="K32" s="266" t="s">
        <v>224</v>
      </c>
      <c r="L32" s="266" t="s">
        <v>173</v>
      </c>
      <c r="M32" s="267" t="s">
        <v>174</v>
      </c>
      <c r="N32" s="266" t="s">
        <v>178</v>
      </c>
    </row>
    <row r="33" spans="1:14" x14ac:dyDescent="0.25">
      <c r="A33" s="254"/>
      <c r="B33" s="254"/>
      <c r="C33" s="255" t="s">
        <v>143</v>
      </c>
      <c r="D33" s="256">
        <v>0</v>
      </c>
      <c r="E33" s="257">
        <v>0</v>
      </c>
      <c r="F33" s="257">
        <v>0</v>
      </c>
      <c r="G33" s="256">
        <v>4</v>
      </c>
      <c r="H33" s="257">
        <v>0</v>
      </c>
      <c r="I33" s="258">
        <f>G33+1</f>
        <v>5</v>
      </c>
      <c r="J33" s="257">
        <v>0</v>
      </c>
      <c r="K33" s="257"/>
      <c r="L33" s="259">
        <f>(D33*SUM((E33+F33)+(G33*H33)+(I33*J33))+K33)</f>
        <v>0</v>
      </c>
      <c r="M33" s="260">
        <v>1</v>
      </c>
      <c r="N33" s="265">
        <f>L33*M33</f>
        <v>0</v>
      </c>
    </row>
    <row r="34" spans="1:14" x14ac:dyDescent="0.25">
      <c r="A34" s="254"/>
      <c r="B34" s="254"/>
      <c r="C34" s="255" t="s">
        <v>143</v>
      </c>
      <c r="D34" s="256">
        <v>0</v>
      </c>
      <c r="E34" s="257">
        <v>0</v>
      </c>
      <c r="F34" s="257">
        <v>0</v>
      </c>
      <c r="G34" s="256">
        <v>4</v>
      </c>
      <c r="H34" s="257">
        <v>0</v>
      </c>
      <c r="I34" s="258">
        <f>G34+1</f>
        <v>5</v>
      </c>
      <c r="J34" s="257">
        <v>0</v>
      </c>
      <c r="K34" s="257"/>
      <c r="L34" s="259">
        <f t="shared" ref="L34:L37" si="3">(D34*SUM((E34+F34)+(G34*H34)+(I34*J34))+K34)</f>
        <v>0</v>
      </c>
      <c r="M34" s="260">
        <v>1</v>
      </c>
      <c r="N34" s="265">
        <f>L34*M34</f>
        <v>0</v>
      </c>
    </row>
    <row r="35" spans="1:14" x14ac:dyDescent="0.25">
      <c r="A35" s="254"/>
      <c r="B35" s="254"/>
      <c r="C35" s="255" t="s">
        <v>143</v>
      </c>
      <c r="D35" s="256">
        <v>0</v>
      </c>
      <c r="E35" s="257">
        <v>0</v>
      </c>
      <c r="F35" s="257">
        <v>0</v>
      </c>
      <c r="G35" s="256">
        <v>4</v>
      </c>
      <c r="H35" s="257">
        <v>0</v>
      </c>
      <c r="I35" s="258">
        <f>G35+1</f>
        <v>5</v>
      </c>
      <c r="J35" s="257">
        <v>0</v>
      </c>
      <c r="K35" s="257"/>
      <c r="L35" s="259">
        <f t="shared" si="3"/>
        <v>0</v>
      </c>
      <c r="M35" s="260">
        <v>1</v>
      </c>
      <c r="N35" s="265">
        <f>L35*M35</f>
        <v>0</v>
      </c>
    </row>
    <row r="36" spans="1:14" x14ac:dyDescent="0.25">
      <c r="A36" s="254"/>
      <c r="B36" s="254"/>
      <c r="C36" s="255" t="s">
        <v>143</v>
      </c>
      <c r="D36" s="256">
        <v>0</v>
      </c>
      <c r="E36" s="257">
        <v>0</v>
      </c>
      <c r="F36" s="257">
        <v>0</v>
      </c>
      <c r="G36" s="256">
        <v>4</v>
      </c>
      <c r="H36" s="257">
        <v>0</v>
      </c>
      <c r="I36" s="258">
        <f>G36+1</f>
        <v>5</v>
      </c>
      <c r="J36" s="257">
        <v>0</v>
      </c>
      <c r="K36" s="257"/>
      <c r="L36" s="259">
        <f t="shared" si="3"/>
        <v>0</v>
      </c>
      <c r="M36" s="260">
        <v>1</v>
      </c>
      <c r="N36" s="265">
        <f>L36*M36</f>
        <v>0</v>
      </c>
    </row>
    <row r="37" spans="1:14" ht="15.75" thickBot="1" x14ac:dyDescent="0.3">
      <c r="A37" s="254"/>
      <c r="B37" s="254"/>
      <c r="C37" s="255" t="s">
        <v>143</v>
      </c>
      <c r="D37" s="256">
        <v>0</v>
      </c>
      <c r="E37" s="257">
        <v>0</v>
      </c>
      <c r="F37" s="257">
        <v>0</v>
      </c>
      <c r="G37" s="256">
        <v>4</v>
      </c>
      <c r="H37" s="257">
        <v>0</v>
      </c>
      <c r="I37" s="258">
        <f>G37+1</f>
        <v>5</v>
      </c>
      <c r="J37" s="257">
        <v>0</v>
      </c>
      <c r="K37" s="257"/>
      <c r="L37" s="259">
        <f t="shared" si="3"/>
        <v>0</v>
      </c>
      <c r="M37" s="260">
        <v>1</v>
      </c>
      <c r="N37" s="265">
        <f>L37*M37</f>
        <v>0</v>
      </c>
    </row>
    <row r="38" spans="1:14" ht="15.75" thickBot="1" x14ac:dyDescent="0.3">
      <c r="A38" s="251"/>
      <c r="B38" s="251"/>
      <c r="C38" s="252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61">
        <f>SUM(N33:N37)</f>
        <v>0</v>
      </c>
    </row>
    <row r="41" spans="1:14" x14ac:dyDescent="0.25">
      <c r="A41" s="448" t="s">
        <v>45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  <c r="L41" s="449"/>
      <c r="M41" s="449"/>
      <c r="N41" s="450"/>
    </row>
    <row r="42" spans="1:14" ht="32.25" customHeight="1" x14ac:dyDescent="0.25">
      <c r="A42" s="266" t="s">
        <v>180</v>
      </c>
      <c r="B42" s="266" t="s">
        <v>179</v>
      </c>
      <c r="C42" s="266" t="s">
        <v>169</v>
      </c>
      <c r="D42" s="266" t="s">
        <v>175</v>
      </c>
      <c r="E42" s="266" t="s">
        <v>63</v>
      </c>
      <c r="F42" s="266" t="s">
        <v>170</v>
      </c>
      <c r="G42" s="266" t="s">
        <v>171</v>
      </c>
      <c r="H42" s="266" t="s">
        <v>176</v>
      </c>
      <c r="I42" s="266" t="s">
        <v>172</v>
      </c>
      <c r="J42" s="266" t="s">
        <v>177</v>
      </c>
      <c r="K42" s="266" t="s">
        <v>224</v>
      </c>
      <c r="L42" s="266" t="s">
        <v>173</v>
      </c>
      <c r="M42" s="267" t="s">
        <v>174</v>
      </c>
      <c r="N42" s="266" t="s">
        <v>178</v>
      </c>
    </row>
    <row r="43" spans="1:14" x14ac:dyDescent="0.25">
      <c r="A43" s="254"/>
      <c r="B43" s="254"/>
      <c r="C43" s="255" t="s">
        <v>143</v>
      </c>
      <c r="D43" s="256">
        <v>0</v>
      </c>
      <c r="E43" s="257">
        <v>0</v>
      </c>
      <c r="F43" s="257">
        <v>0</v>
      </c>
      <c r="G43" s="256">
        <v>4</v>
      </c>
      <c r="H43" s="257">
        <v>0</v>
      </c>
      <c r="I43" s="258">
        <f>G43+1</f>
        <v>5</v>
      </c>
      <c r="J43" s="257">
        <v>0</v>
      </c>
      <c r="K43" s="257"/>
      <c r="L43" s="259">
        <f>(D43*SUM((E43+F43)+(G43*H43)+(I43*J43))+K43)</f>
        <v>0</v>
      </c>
      <c r="M43" s="260">
        <v>1</v>
      </c>
      <c r="N43" s="265">
        <f>L43*M43</f>
        <v>0</v>
      </c>
    </row>
    <row r="44" spans="1:14" x14ac:dyDescent="0.25">
      <c r="A44" s="254"/>
      <c r="B44" s="254"/>
      <c r="C44" s="255" t="s">
        <v>143</v>
      </c>
      <c r="D44" s="256">
        <v>0</v>
      </c>
      <c r="E44" s="257">
        <v>0</v>
      </c>
      <c r="F44" s="257">
        <v>0</v>
      </c>
      <c r="G44" s="256">
        <v>4</v>
      </c>
      <c r="H44" s="257">
        <v>0</v>
      </c>
      <c r="I44" s="258">
        <f>G44+1</f>
        <v>5</v>
      </c>
      <c r="J44" s="257">
        <v>0</v>
      </c>
      <c r="K44" s="257"/>
      <c r="L44" s="259">
        <f t="shared" ref="L44:L47" si="4">(D44*SUM((E44+F44)+(G44*H44)+(I44*J44))+K44)</f>
        <v>0</v>
      </c>
      <c r="M44" s="260">
        <v>1</v>
      </c>
      <c r="N44" s="265">
        <f>L44*M44</f>
        <v>0</v>
      </c>
    </row>
    <row r="45" spans="1:14" x14ac:dyDescent="0.25">
      <c r="A45" s="254"/>
      <c r="B45" s="254"/>
      <c r="C45" s="255" t="s">
        <v>143</v>
      </c>
      <c r="D45" s="256">
        <v>0</v>
      </c>
      <c r="E45" s="257">
        <v>0</v>
      </c>
      <c r="F45" s="257">
        <v>0</v>
      </c>
      <c r="G45" s="256">
        <v>4</v>
      </c>
      <c r="H45" s="257">
        <v>0</v>
      </c>
      <c r="I45" s="258">
        <f>G45+1</f>
        <v>5</v>
      </c>
      <c r="J45" s="257">
        <v>0</v>
      </c>
      <c r="K45" s="257"/>
      <c r="L45" s="259">
        <f t="shared" si="4"/>
        <v>0</v>
      </c>
      <c r="M45" s="260">
        <v>1</v>
      </c>
      <c r="N45" s="265">
        <f>L45*M45</f>
        <v>0</v>
      </c>
    </row>
    <row r="46" spans="1:14" x14ac:dyDescent="0.25">
      <c r="A46" s="254"/>
      <c r="B46" s="254"/>
      <c r="C46" s="255" t="s">
        <v>143</v>
      </c>
      <c r="D46" s="256">
        <v>0</v>
      </c>
      <c r="E46" s="257">
        <v>0</v>
      </c>
      <c r="F46" s="257">
        <v>0</v>
      </c>
      <c r="G46" s="256">
        <v>4</v>
      </c>
      <c r="H46" s="257">
        <v>0</v>
      </c>
      <c r="I46" s="258">
        <f>G46+1</f>
        <v>5</v>
      </c>
      <c r="J46" s="257">
        <v>0</v>
      </c>
      <c r="K46" s="257"/>
      <c r="L46" s="259">
        <f t="shared" si="4"/>
        <v>0</v>
      </c>
      <c r="M46" s="260">
        <v>1</v>
      </c>
      <c r="N46" s="265">
        <f>L46*M46</f>
        <v>0</v>
      </c>
    </row>
    <row r="47" spans="1:14" ht="15.75" thickBot="1" x14ac:dyDescent="0.3">
      <c r="A47" s="254"/>
      <c r="B47" s="254"/>
      <c r="C47" s="255" t="s">
        <v>143</v>
      </c>
      <c r="D47" s="256">
        <v>0</v>
      </c>
      <c r="E47" s="257">
        <v>0</v>
      </c>
      <c r="F47" s="257">
        <v>0</v>
      </c>
      <c r="G47" s="256">
        <v>4</v>
      </c>
      <c r="H47" s="257">
        <v>0</v>
      </c>
      <c r="I47" s="258">
        <f>G47+1</f>
        <v>5</v>
      </c>
      <c r="J47" s="257">
        <v>0</v>
      </c>
      <c r="K47" s="257"/>
      <c r="L47" s="259">
        <f t="shared" si="4"/>
        <v>0</v>
      </c>
      <c r="M47" s="260">
        <v>1</v>
      </c>
      <c r="N47" s="265">
        <f>L47*M47</f>
        <v>0</v>
      </c>
    </row>
    <row r="48" spans="1:14" ht="15.75" thickBot="1" x14ac:dyDescent="0.3">
      <c r="A48" s="251"/>
      <c r="B48" s="251"/>
      <c r="C48" s="252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61">
        <f>SUM(N43:N47)</f>
        <v>0</v>
      </c>
    </row>
    <row r="51" spans="1:14" x14ac:dyDescent="0.25">
      <c r="A51" s="448" t="s">
        <v>183</v>
      </c>
      <c r="B51" s="449"/>
      <c r="C51" s="449"/>
      <c r="D51" s="449"/>
      <c r="E51" s="449"/>
      <c r="F51" s="449"/>
      <c r="G51" s="449"/>
      <c r="H51" s="449"/>
      <c r="I51" s="449"/>
      <c r="J51" s="449"/>
      <c r="K51" s="449"/>
      <c r="L51" s="449"/>
      <c r="M51" s="449"/>
      <c r="N51" s="450"/>
    </row>
    <row r="52" spans="1:14" ht="35.25" customHeight="1" x14ac:dyDescent="0.25">
      <c r="A52" s="266" t="s">
        <v>180</v>
      </c>
      <c r="B52" s="266" t="s">
        <v>179</v>
      </c>
      <c r="C52" s="266" t="s">
        <v>169</v>
      </c>
      <c r="D52" s="266" t="s">
        <v>175</v>
      </c>
      <c r="E52" s="266" t="s">
        <v>63</v>
      </c>
      <c r="F52" s="266" t="s">
        <v>170</v>
      </c>
      <c r="G52" s="266" t="s">
        <v>171</v>
      </c>
      <c r="H52" s="266" t="s">
        <v>176</v>
      </c>
      <c r="I52" s="266" t="s">
        <v>172</v>
      </c>
      <c r="J52" s="266" t="s">
        <v>177</v>
      </c>
      <c r="K52" s="266" t="s">
        <v>224</v>
      </c>
      <c r="L52" s="266" t="s">
        <v>173</v>
      </c>
      <c r="M52" s="267" t="s">
        <v>174</v>
      </c>
      <c r="N52" s="266" t="s">
        <v>178</v>
      </c>
    </row>
    <row r="53" spans="1:14" x14ac:dyDescent="0.25">
      <c r="A53" s="254"/>
      <c r="B53" s="254"/>
      <c r="C53" s="255" t="s">
        <v>143</v>
      </c>
      <c r="D53" s="256">
        <v>0</v>
      </c>
      <c r="E53" s="257">
        <v>0</v>
      </c>
      <c r="F53" s="257">
        <v>0</v>
      </c>
      <c r="G53" s="256">
        <v>4</v>
      </c>
      <c r="H53" s="257">
        <v>0</v>
      </c>
      <c r="I53" s="258">
        <f>G53+1</f>
        <v>5</v>
      </c>
      <c r="J53" s="257">
        <v>0</v>
      </c>
      <c r="K53" s="257"/>
      <c r="L53" s="259">
        <f>(D53*SUM((E53+F53)+(G53*H53)+(I53*J53))+K53)</f>
        <v>0</v>
      </c>
      <c r="M53" s="260">
        <v>1</v>
      </c>
      <c r="N53" s="265">
        <f>L53*M53</f>
        <v>0</v>
      </c>
    </row>
    <row r="54" spans="1:14" x14ac:dyDescent="0.25">
      <c r="A54" s="254"/>
      <c r="B54" s="254"/>
      <c r="C54" s="255" t="s">
        <v>143</v>
      </c>
      <c r="D54" s="256">
        <v>0</v>
      </c>
      <c r="E54" s="257">
        <v>0</v>
      </c>
      <c r="F54" s="257">
        <v>0</v>
      </c>
      <c r="G54" s="256">
        <v>4</v>
      </c>
      <c r="H54" s="257">
        <v>0</v>
      </c>
      <c r="I54" s="258">
        <f>G54+1</f>
        <v>5</v>
      </c>
      <c r="J54" s="257">
        <v>0</v>
      </c>
      <c r="K54" s="257"/>
      <c r="L54" s="259">
        <f t="shared" ref="L54:L57" si="5">(D54*SUM((E54+F54)+(G54*H54)+(I54*J54))+K54)</f>
        <v>0</v>
      </c>
      <c r="M54" s="260">
        <v>1</v>
      </c>
      <c r="N54" s="265">
        <f>L54*M54</f>
        <v>0</v>
      </c>
    </row>
    <row r="55" spans="1:14" x14ac:dyDescent="0.25">
      <c r="A55" s="254"/>
      <c r="B55" s="254"/>
      <c r="C55" s="255" t="s">
        <v>143</v>
      </c>
      <c r="D55" s="256">
        <v>0</v>
      </c>
      <c r="E55" s="257">
        <v>0</v>
      </c>
      <c r="F55" s="257">
        <v>0</v>
      </c>
      <c r="G55" s="256">
        <v>4</v>
      </c>
      <c r="H55" s="257">
        <v>0</v>
      </c>
      <c r="I55" s="258">
        <f>G55+1</f>
        <v>5</v>
      </c>
      <c r="J55" s="257">
        <v>0</v>
      </c>
      <c r="K55" s="257"/>
      <c r="L55" s="259">
        <f t="shared" si="5"/>
        <v>0</v>
      </c>
      <c r="M55" s="260">
        <v>1</v>
      </c>
      <c r="N55" s="265">
        <f>L55*M55</f>
        <v>0</v>
      </c>
    </row>
    <row r="56" spans="1:14" x14ac:dyDescent="0.25">
      <c r="A56" s="254"/>
      <c r="B56" s="254"/>
      <c r="C56" s="255" t="s">
        <v>143</v>
      </c>
      <c r="D56" s="256">
        <v>0</v>
      </c>
      <c r="E56" s="257">
        <v>0</v>
      </c>
      <c r="F56" s="257">
        <v>0</v>
      </c>
      <c r="G56" s="256">
        <v>4</v>
      </c>
      <c r="H56" s="257">
        <v>0</v>
      </c>
      <c r="I56" s="258">
        <f>G56+1</f>
        <v>5</v>
      </c>
      <c r="J56" s="257">
        <v>0</v>
      </c>
      <c r="K56" s="257"/>
      <c r="L56" s="259">
        <f t="shared" si="5"/>
        <v>0</v>
      </c>
      <c r="M56" s="260">
        <v>1</v>
      </c>
      <c r="N56" s="265">
        <f>L56*M56</f>
        <v>0</v>
      </c>
    </row>
    <row r="57" spans="1:14" ht="15.75" thickBot="1" x14ac:dyDescent="0.3">
      <c r="A57" s="254"/>
      <c r="B57" s="254"/>
      <c r="C57" s="255" t="s">
        <v>143</v>
      </c>
      <c r="D57" s="256">
        <v>0</v>
      </c>
      <c r="E57" s="257">
        <v>0</v>
      </c>
      <c r="F57" s="257">
        <v>0</v>
      </c>
      <c r="G57" s="256">
        <v>4</v>
      </c>
      <c r="H57" s="257">
        <v>0</v>
      </c>
      <c r="I57" s="258">
        <f>G57+1</f>
        <v>5</v>
      </c>
      <c r="J57" s="257">
        <v>0</v>
      </c>
      <c r="K57" s="257"/>
      <c r="L57" s="259">
        <f t="shared" si="5"/>
        <v>0</v>
      </c>
      <c r="M57" s="260">
        <v>1</v>
      </c>
      <c r="N57" s="265">
        <f>L57*M57</f>
        <v>0</v>
      </c>
    </row>
    <row r="58" spans="1:14" ht="15.75" thickBot="1" x14ac:dyDescent="0.3">
      <c r="A58" s="251"/>
      <c r="B58" s="251"/>
      <c r="C58" s="252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61">
        <f>SUM(N53:N57)</f>
        <v>0</v>
      </c>
    </row>
    <row r="62" spans="1:14" x14ac:dyDescent="0.25">
      <c r="A62" s="448" t="s">
        <v>184</v>
      </c>
      <c r="B62" s="449"/>
      <c r="C62" s="449"/>
      <c r="D62" s="449"/>
      <c r="E62" s="449"/>
      <c r="F62" s="449"/>
      <c r="G62" s="449"/>
      <c r="H62" s="449"/>
      <c r="I62" s="449"/>
      <c r="J62" s="449"/>
      <c r="K62" s="449"/>
      <c r="L62" s="449"/>
      <c r="M62" s="449"/>
      <c r="N62" s="450"/>
    </row>
    <row r="63" spans="1:14" ht="34.5" customHeight="1" x14ac:dyDescent="0.25">
      <c r="A63" s="266" t="s">
        <v>180</v>
      </c>
      <c r="B63" s="266" t="s">
        <v>179</v>
      </c>
      <c r="C63" s="266" t="s">
        <v>169</v>
      </c>
      <c r="D63" s="266" t="s">
        <v>175</v>
      </c>
      <c r="E63" s="266" t="s">
        <v>63</v>
      </c>
      <c r="F63" s="266" t="s">
        <v>170</v>
      </c>
      <c r="G63" s="266" t="s">
        <v>171</v>
      </c>
      <c r="H63" s="266" t="s">
        <v>176</v>
      </c>
      <c r="I63" s="266" t="s">
        <v>172</v>
      </c>
      <c r="J63" s="266" t="s">
        <v>177</v>
      </c>
      <c r="K63" s="266" t="s">
        <v>224</v>
      </c>
      <c r="L63" s="266" t="s">
        <v>173</v>
      </c>
      <c r="M63" s="267" t="s">
        <v>174</v>
      </c>
      <c r="N63" s="266" t="s">
        <v>178</v>
      </c>
    </row>
    <row r="64" spans="1:14" x14ac:dyDescent="0.25">
      <c r="A64" s="254"/>
      <c r="B64" s="254"/>
      <c r="C64" s="255" t="s">
        <v>143</v>
      </c>
      <c r="D64" s="256">
        <v>0</v>
      </c>
      <c r="E64" s="257">
        <v>0</v>
      </c>
      <c r="F64" s="257">
        <v>0</v>
      </c>
      <c r="G64" s="256">
        <v>4</v>
      </c>
      <c r="H64" s="257">
        <v>0</v>
      </c>
      <c r="I64" s="258">
        <f>G64+1</f>
        <v>5</v>
      </c>
      <c r="J64" s="257">
        <v>0</v>
      </c>
      <c r="K64" s="257"/>
      <c r="L64" s="259">
        <f>(D64*SUM((E64+F64)+(G64*H64)+(I64*J64))+K64)</f>
        <v>0</v>
      </c>
      <c r="M64" s="260">
        <v>1</v>
      </c>
      <c r="N64" s="265">
        <f>L64*M64</f>
        <v>0</v>
      </c>
    </row>
    <row r="65" spans="1:14" x14ac:dyDescent="0.25">
      <c r="A65" s="254"/>
      <c r="B65" s="254"/>
      <c r="C65" s="255" t="s">
        <v>143</v>
      </c>
      <c r="D65" s="256">
        <v>0</v>
      </c>
      <c r="E65" s="257">
        <v>0</v>
      </c>
      <c r="F65" s="257">
        <v>0</v>
      </c>
      <c r="G65" s="256">
        <v>4</v>
      </c>
      <c r="H65" s="257">
        <v>0</v>
      </c>
      <c r="I65" s="258">
        <f>G65+1</f>
        <v>5</v>
      </c>
      <c r="J65" s="257">
        <v>0</v>
      </c>
      <c r="K65" s="257"/>
      <c r="L65" s="259">
        <f t="shared" ref="L65:L68" si="6">(D65*SUM((E65+F65)+(G65*H65)+(I65*J65))+K65)</f>
        <v>0</v>
      </c>
      <c r="M65" s="260">
        <v>1</v>
      </c>
      <c r="N65" s="265">
        <f>L65*M65</f>
        <v>0</v>
      </c>
    </row>
    <row r="66" spans="1:14" x14ac:dyDescent="0.25">
      <c r="A66" s="254"/>
      <c r="B66" s="254"/>
      <c r="C66" s="255" t="s">
        <v>143</v>
      </c>
      <c r="D66" s="256">
        <v>0</v>
      </c>
      <c r="E66" s="257">
        <v>0</v>
      </c>
      <c r="F66" s="257">
        <v>0</v>
      </c>
      <c r="G66" s="256">
        <v>4</v>
      </c>
      <c r="H66" s="257">
        <v>0</v>
      </c>
      <c r="I66" s="258">
        <f>G66+1</f>
        <v>5</v>
      </c>
      <c r="J66" s="257">
        <v>0</v>
      </c>
      <c r="K66" s="257"/>
      <c r="L66" s="259">
        <f t="shared" si="6"/>
        <v>0</v>
      </c>
      <c r="M66" s="260">
        <v>1</v>
      </c>
      <c r="N66" s="265">
        <f>L66*M66</f>
        <v>0</v>
      </c>
    </row>
    <row r="67" spans="1:14" x14ac:dyDescent="0.25">
      <c r="A67" s="254"/>
      <c r="B67" s="254"/>
      <c r="C67" s="255" t="s">
        <v>143</v>
      </c>
      <c r="D67" s="256">
        <v>0</v>
      </c>
      <c r="E67" s="257">
        <v>0</v>
      </c>
      <c r="F67" s="257">
        <v>0</v>
      </c>
      <c r="G67" s="256">
        <v>4</v>
      </c>
      <c r="H67" s="257">
        <v>0</v>
      </c>
      <c r="I67" s="258">
        <f>G67+1</f>
        <v>5</v>
      </c>
      <c r="J67" s="257">
        <v>0</v>
      </c>
      <c r="K67" s="257"/>
      <c r="L67" s="259">
        <f t="shared" si="6"/>
        <v>0</v>
      </c>
      <c r="M67" s="260">
        <v>1</v>
      </c>
      <c r="N67" s="265">
        <f>L67*M67</f>
        <v>0</v>
      </c>
    </row>
    <row r="68" spans="1:14" ht="15.75" thickBot="1" x14ac:dyDescent="0.3">
      <c r="A68" s="254"/>
      <c r="B68" s="254"/>
      <c r="C68" s="255" t="s">
        <v>143</v>
      </c>
      <c r="D68" s="256">
        <v>0</v>
      </c>
      <c r="E68" s="257">
        <v>0</v>
      </c>
      <c r="F68" s="257">
        <v>0</v>
      </c>
      <c r="G68" s="256">
        <v>4</v>
      </c>
      <c r="H68" s="257">
        <v>0</v>
      </c>
      <c r="I68" s="258">
        <f>G68+1</f>
        <v>5</v>
      </c>
      <c r="J68" s="257">
        <v>0</v>
      </c>
      <c r="K68" s="257"/>
      <c r="L68" s="259">
        <f t="shared" si="6"/>
        <v>0</v>
      </c>
      <c r="M68" s="260">
        <v>1</v>
      </c>
      <c r="N68" s="265">
        <f>L68*M68</f>
        <v>0</v>
      </c>
    </row>
    <row r="69" spans="1:14" ht="15.75" thickBot="1" x14ac:dyDescent="0.3">
      <c r="A69" s="251"/>
      <c r="B69" s="251"/>
      <c r="C69" s="252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61">
        <f>SUM(N64:N68)</f>
        <v>0</v>
      </c>
    </row>
    <row r="72" spans="1:14" x14ac:dyDescent="0.25">
      <c r="A72" s="448" t="s">
        <v>185</v>
      </c>
      <c r="B72" s="449"/>
      <c r="C72" s="449"/>
      <c r="D72" s="449"/>
      <c r="E72" s="449"/>
      <c r="F72" s="449"/>
      <c r="G72" s="449"/>
      <c r="H72" s="449"/>
      <c r="I72" s="449"/>
      <c r="J72" s="449"/>
      <c r="K72" s="449"/>
      <c r="L72" s="449"/>
      <c r="M72" s="449"/>
      <c r="N72" s="450"/>
    </row>
    <row r="73" spans="1:14" ht="33" customHeight="1" x14ac:dyDescent="0.25">
      <c r="A73" s="266" t="s">
        <v>180</v>
      </c>
      <c r="B73" s="266" t="s">
        <v>179</v>
      </c>
      <c r="C73" s="266" t="s">
        <v>169</v>
      </c>
      <c r="D73" s="266" t="s">
        <v>175</v>
      </c>
      <c r="E73" s="266" t="s">
        <v>63</v>
      </c>
      <c r="F73" s="266" t="s">
        <v>170</v>
      </c>
      <c r="G73" s="266" t="s">
        <v>171</v>
      </c>
      <c r="H73" s="266" t="s">
        <v>176</v>
      </c>
      <c r="I73" s="266" t="s">
        <v>172</v>
      </c>
      <c r="J73" s="266" t="s">
        <v>177</v>
      </c>
      <c r="K73" s="266" t="s">
        <v>224</v>
      </c>
      <c r="L73" s="266" t="s">
        <v>173</v>
      </c>
      <c r="M73" s="267" t="s">
        <v>174</v>
      </c>
      <c r="N73" s="266" t="s">
        <v>178</v>
      </c>
    </row>
    <row r="74" spans="1:14" x14ac:dyDescent="0.25">
      <c r="A74" s="254"/>
      <c r="B74" s="254"/>
      <c r="C74" s="255" t="s">
        <v>143</v>
      </c>
      <c r="D74" s="256">
        <v>0</v>
      </c>
      <c r="E74" s="257">
        <v>0</v>
      </c>
      <c r="F74" s="257">
        <v>0</v>
      </c>
      <c r="G74" s="256">
        <v>4</v>
      </c>
      <c r="H74" s="257">
        <v>0</v>
      </c>
      <c r="I74" s="258">
        <f>G74+1</f>
        <v>5</v>
      </c>
      <c r="J74" s="257">
        <v>0</v>
      </c>
      <c r="K74" s="257"/>
      <c r="L74" s="259">
        <f>(D74*SUM((E74+F74)+(G74*H74)+(I74*J74))+K74)</f>
        <v>0</v>
      </c>
      <c r="M74" s="260">
        <v>1</v>
      </c>
      <c r="N74" s="265">
        <f>L74*M74</f>
        <v>0</v>
      </c>
    </row>
    <row r="75" spans="1:14" x14ac:dyDescent="0.25">
      <c r="A75" s="254"/>
      <c r="B75" s="254"/>
      <c r="C75" s="255" t="s">
        <v>143</v>
      </c>
      <c r="D75" s="256">
        <v>0</v>
      </c>
      <c r="E75" s="257">
        <v>0</v>
      </c>
      <c r="F75" s="257">
        <v>0</v>
      </c>
      <c r="G75" s="256">
        <v>4</v>
      </c>
      <c r="H75" s="257">
        <v>0</v>
      </c>
      <c r="I75" s="258">
        <f>G75+1</f>
        <v>5</v>
      </c>
      <c r="J75" s="257">
        <v>0</v>
      </c>
      <c r="K75" s="257"/>
      <c r="L75" s="259">
        <f t="shared" ref="L75:L78" si="7">(D75*SUM((E75+F75)+(G75*H75)+(I75*J75))+K75)</f>
        <v>0</v>
      </c>
      <c r="M75" s="260">
        <v>1</v>
      </c>
      <c r="N75" s="265">
        <f>L75*M75</f>
        <v>0</v>
      </c>
    </row>
    <row r="76" spans="1:14" x14ac:dyDescent="0.25">
      <c r="A76" s="254"/>
      <c r="B76" s="254"/>
      <c r="C76" s="255" t="s">
        <v>143</v>
      </c>
      <c r="D76" s="256">
        <v>0</v>
      </c>
      <c r="E76" s="257">
        <v>0</v>
      </c>
      <c r="F76" s="257">
        <v>0</v>
      </c>
      <c r="G76" s="256">
        <v>4</v>
      </c>
      <c r="H76" s="257">
        <v>0</v>
      </c>
      <c r="I76" s="258">
        <f>G76+1</f>
        <v>5</v>
      </c>
      <c r="J76" s="257">
        <v>0</v>
      </c>
      <c r="K76" s="257"/>
      <c r="L76" s="259">
        <f t="shared" si="7"/>
        <v>0</v>
      </c>
      <c r="M76" s="260">
        <v>1</v>
      </c>
      <c r="N76" s="265">
        <f>L76*M76</f>
        <v>0</v>
      </c>
    </row>
    <row r="77" spans="1:14" x14ac:dyDescent="0.25">
      <c r="A77" s="254"/>
      <c r="B77" s="254"/>
      <c r="C77" s="255" t="s">
        <v>143</v>
      </c>
      <c r="D77" s="256">
        <v>0</v>
      </c>
      <c r="E77" s="257">
        <v>0</v>
      </c>
      <c r="F77" s="257">
        <v>0</v>
      </c>
      <c r="G77" s="256">
        <v>4</v>
      </c>
      <c r="H77" s="257">
        <v>0</v>
      </c>
      <c r="I77" s="258">
        <f>G77+1</f>
        <v>5</v>
      </c>
      <c r="J77" s="257">
        <v>0</v>
      </c>
      <c r="K77" s="257"/>
      <c r="L77" s="259">
        <f t="shared" si="7"/>
        <v>0</v>
      </c>
      <c r="M77" s="260">
        <v>1</v>
      </c>
      <c r="N77" s="265">
        <f>L77*M77</f>
        <v>0</v>
      </c>
    </row>
    <row r="78" spans="1:14" ht="15.75" thickBot="1" x14ac:dyDescent="0.3">
      <c r="A78" s="254"/>
      <c r="B78" s="254"/>
      <c r="C78" s="255" t="s">
        <v>143</v>
      </c>
      <c r="D78" s="256">
        <v>0</v>
      </c>
      <c r="E78" s="257">
        <v>0</v>
      </c>
      <c r="F78" s="257">
        <v>0</v>
      </c>
      <c r="G78" s="256">
        <v>4</v>
      </c>
      <c r="H78" s="257">
        <v>0</v>
      </c>
      <c r="I78" s="258">
        <f>G78+1</f>
        <v>5</v>
      </c>
      <c r="J78" s="257">
        <v>0</v>
      </c>
      <c r="K78" s="257"/>
      <c r="L78" s="259">
        <f t="shared" si="7"/>
        <v>0</v>
      </c>
      <c r="M78" s="260">
        <v>1</v>
      </c>
      <c r="N78" s="265">
        <f>L78*M78</f>
        <v>0</v>
      </c>
    </row>
    <row r="79" spans="1:14" ht="15.75" thickBot="1" x14ac:dyDescent="0.3">
      <c r="A79" s="251"/>
      <c r="B79" s="251"/>
      <c r="C79" s="252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61">
        <f>SUM(N74:N78)</f>
        <v>0</v>
      </c>
    </row>
    <row r="82" spans="1:14" x14ac:dyDescent="0.25">
      <c r="A82" s="448" t="s">
        <v>186</v>
      </c>
      <c r="B82" s="449"/>
      <c r="C82" s="449"/>
      <c r="D82" s="449"/>
      <c r="E82" s="449"/>
      <c r="F82" s="449"/>
      <c r="G82" s="449"/>
      <c r="H82" s="449"/>
      <c r="I82" s="449"/>
      <c r="J82" s="449"/>
      <c r="K82" s="449"/>
      <c r="L82" s="449"/>
      <c r="M82" s="449"/>
      <c r="N82" s="450"/>
    </row>
    <row r="83" spans="1:14" ht="33.75" customHeight="1" x14ac:dyDescent="0.25">
      <c r="A83" s="266" t="s">
        <v>180</v>
      </c>
      <c r="B83" s="266" t="s">
        <v>179</v>
      </c>
      <c r="C83" s="266" t="s">
        <v>169</v>
      </c>
      <c r="D83" s="266" t="s">
        <v>175</v>
      </c>
      <c r="E83" s="266" t="s">
        <v>63</v>
      </c>
      <c r="F83" s="266" t="s">
        <v>170</v>
      </c>
      <c r="G83" s="266" t="s">
        <v>171</v>
      </c>
      <c r="H83" s="266" t="s">
        <v>176</v>
      </c>
      <c r="I83" s="266" t="s">
        <v>172</v>
      </c>
      <c r="J83" s="266" t="s">
        <v>177</v>
      </c>
      <c r="K83" s="266" t="s">
        <v>224</v>
      </c>
      <c r="L83" s="266" t="s">
        <v>173</v>
      </c>
      <c r="M83" s="267" t="s">
        <v>174</v>
      </c>
      <c r="N83" s="266" t="s">
        <v>178</v>
      </c>
    </row>
    <row r="84" spans="1:14" x14ac:dyDescent="0.25">
      <c r="A84" s="254"/>
      <c r="B84" s="254"/>
      <c r="C84" s="255" t="s">
        <v>143</v>
      </c>
      <c r="D84" s="256">
        <v>0</v>
      </c>
      <c r="E84" s="257">
        <v>0</v>
      </c>
      <c r="F84" s="257">
        <v>0</v>
      </c>
      <c r="G84" s="256">
        <v>4</v>
      </c>
      <c r="H84" s="257">
        <v>0</v>
      </c>
      <c r="I84" s="258">
        <f>G84+1</f>
        <v>5</v>
      </c>
      <c r="J84" s="257">
        <v>0</v>
      </c>
      <c r="K84" s="257"/>
      <c r="L84" s="259">
        <f>(D84*SUM((E84+F84)+(G84*H84)+(I84*J84))+K84)</f>
        <v>0</v>
      </c>
      <c r="M84" s="260">
        <v>1</v>
      </c>
      <c r="N84" s="265">
        <f>L84*M84</f>
        <v>0</v>
      </c>
    </row>
    <row r="85" spans="1:14" x14ac:dyDescent="0.25">
      <c r="A85" s="254"/>
      <c r="B85" s="254"/>
      <c r="C85" s="255" t="s">
        <v>143</v>
      </c>
      <c r="D85" s="256">
        <v>0</v>
      </c>
      <c r="E85" s="257">
        <v>0</v>
      </c>
      <c r="F85" s="257">
        <v>0</v>
      </c>
      <c r="G85" s="256">
        <v>4</v>
      </c>
      <c r="H85" s="257">
        <v>0</v>
      </c>
      <c r="I85" s="258">
        <f>G85+1</f>
        <v>5</v>
      </c>
      <c r="J85" s="257">
        <v>0</v>
      </c>
      <c r="K85" s="257"/>
      <c r="L85" s="259">
        <f t="shared" ref="L85:L88" si="8">(D85*SUM((E85+F85)+(G85*H85)+(I85*J85))+K85)</f>
        <v>0</v>
      </c>
      <c r="M85" s="260">
        <v>1</v>
      </c>
      <c r="N85" s="265">
        <f>L85*M85</f>
        <v>0</v>
      </c>
    </row>
    <row r="86" spans="1:14" x14ac:dyDescent="0.25">
      <c r="A86" s="254"/>
      <c r="B86" s="254"/>
      <c r="C86" s="255" t="s">
        <v>143</v>
      </c>
      <c r="D86" s="256">
        <v>0</v>
      </c>
      <c r="E86" s="257">
        <v>0</v>
      </c>
      <c r="F86" s="257">
        <v>0</v>
      </c>
      <c r="G86" s="256">
        <v>4</v>
      </c>
      <c r="H86" s="257">
        <v>0</v>
      </c>
      <c r="I86" s="258">
        <f>G86+1</f>
        <v>5</v>
      </c>
      <c r="J86" s="257">
        <v>0</v>
      </c>
      <c r="K86" s="257"/>
      <c r="L86" s="259">
        <f t="shared" si="8"/>
        <v>0</v>
      </c>
      <c r="M86" s="260">
        <v>1</v>
      </c>
      <c r="N86" s="265">
        <f>L86*M86</f>
        <v>0</v>
      </c>
    </row>
    <row r="87" spans="1:14" x14ac:dyDescent="0.25">
      <c r="A87" s="254"/>
      <c r="B87" s="254"/>
      <c r="C87" s="255" t="s">
        <v>143</v>
      </c>
      <c r="D87" s="256">
        <v>0</v>
      </c>
      <c r="E87" s="257">
        <v>0</v>
      </c>
      <c r="F87" s="257">
        <v>0</v>
      </c>
      <c r="G87" s="256">
        <v>4</v>
      </c>
      <c r="H87" s="257">
        <v>0</v>
      </c>
      <c r="I87" s="258">
        <f>G87+1</f>
        <v>5</v>
      </c>
      <c r="J87" s="257">
        <v>0</v>
      </c>
      <c r="K87" s="257"/>
      <c r="L87" s="259">
        <f t="shared" si="8"/>
        <v>0</v>
      </c>
      <c r="M87" s="260">
        <v>1</v>
      </c>
      <c r="N87" s="265">
        <f>L87*M87</f>
        <v>0</v>
      </c>
    </row>
    <row r="88" spans="1:14" ht="15.75" thickBot="1" x14ac:dyDescent="0.3">
      <c r="A88" s="254"/>
      <c r="B88" s="254"/>
      <c r="C88" s="255" t="s">
        <v>143</v>
      </c>
      <c r="D88" s="256">
        <v>0</v>
      </c>
      <c r="E88" s="257">
        <v>0</v>
      </c>
      <c r="F88" s="257">
        <v>0</v>
      </c>
      <c r="G88" s="256">
        <v>4</v>
      </c>
      <c r="H88" s="257">
        <v>0</v>
      </c>
      <c r="I88" s="258">
        <f>G88+1</f>
        <v>5</v>
      </c>
      <c r="J88" s="257">
        <v>0</v>
      </c>
      <c r="K88" s="257"/>
      <c r="L88" s="259">
        <f t="shared" si="8"/>
        <v>0</v>
      </c>
      <c r="M88" s="260">
        <v>1</v>
      </c>
      <c r="N88" s="265">
        <f>L88*M88</f>
        <v>0</v>
      </c>
    </row>
    <row r="89" spans="1:14" ht="15.75" thickBot="1" x14ac:dyDescent="0.3">
      <c r="A89" s="251"/>
      <c r="B89" s="251"/>
      <c r="C89" s="252"/>
      <c r="D89" s="253"/>
      <c r="E89" s="253"/>
      <c r="F89" s="253"/>
      <c r="G89" s="253"/>
      <c r="H89" s="253"/>
      <c r="I89" s="253"/>
      <c r="J89" s="253"/>
      <c r="K89" s="253"/>
      <c r="L89" s="253"/>
      <c r="M89" s="253"/>
      <c r="N89" s="261">
        <f>SUM(N84:N88)</f>
        <v>0</v>
      </c>
    </row>
    <row r="92" spans="1:14" x14ac:dyDescent="0.25">
      <c r="A92" s="448" t="s">
        <v>187</v>
      </c>
      <c r="B92" s="449"/>
      <c r="C92" s="449"/>
      <c r="D92" s="449"/>
      <c r="E92" s="449"/>
      <c r="F92" s="449"/>
      <c r="G92" s="449"/>
      <c r="H92" s="449"/>
      <c r="I92" s="449"/>
      <c r="J92" s="449"/>
      <c r="K92" s="449"/>
      <c r="L92" s="449"/>
      <c r="M92" s="449"/>
      <c r="N92" s="450"/>
    </row>
    <row r="93" spans="1:14" ht="34.5" customHeight="1" x14ac:dyDescent="0.25">
      <c r="A93" s="266" t="s">
        <v>180</v>
      </c>
      <c r="B93" s="266" t="s">
        <v>179</v>
      </c>
      <c r="C93" s="266" t="s">
        <v>169</v>
      </c>
      <c r="D93" s="266" t="s">
        <v>175</v>
      </c>
      <c r="E93" s="266" t="s">
        <v>63</v>
      </c>
      <c r="F93" s="266" t="s">
        <v>170</v>
      </c>
      <c r="G93" s="266" t="s">
        <v>171</v>
      </c>
      <c r="H93" s="266" t="s">
        <v>176</v>
      </c>
      <c r="I93" s="266" t="s">
        <v>172</v>
      </c>
      <c r="J93" s="266" t="s">
        <v>177</v>
      </c>
      <c r="K93" s="266" t="s">
        <v>224</v>
      </c>
      <c r="L93" s="266" t="s">
        <v>173</v>
      </c>
      <c r="M93" s="267" t="s">
        <v>174</v>
      </c>
      <c r="N93" s="266" t="s">
        <v>178</v>
      </c>
    </row>
    <row r="94" spans="1:14" x14ac:dyDescent="0.25">
      <c r="A94" s="254"/>
      <c r="B94" s="254"/>
      <c r="C94" s="255" t="s">
        <v>143</v>
      </c>
      <c r="D94" s="256">
        <v>0</v>
      </c>
      <c r="E94" s="257">
        <v>0</v>
      </c>
      <c r="F94" s="257">
        <v>0</v>
      </c>
      <c r="G94" s="256">
        <v>4</v>
      </c>
      <c r="H94" s="257">
        <v>0</v>
      </c>
      <c r="I94" s="258">
        <f>G94+1</f>
        <v>5</v>
      </c>
      <c r="J94" s="257">
        <v>0</v>
      </c>
      <c r="K94" s="257"/>
      <c r="L94" s="259">
        <f>(D94*SUM((E94+F94)+(G94*H94)+(I94*J94))+K94)</f>
        <v>0</v>
      </c>
      <c r="M94" s="260">
        <v>1</v>
      </c>
      <c r="N94" s="265">
        <f>L94*M94</f>
        <v>0</v>
      </c>
    </row>
    <row r="95" spans="1:14" x14ac:dyDescent="0.25">
      <c r="A95" s="254"/>
      <c r="B95" s="254"/>
      <c r="C95" s="255" t="s">
        <v>143</v>
      </c>
      <c r="D95" s="256">
        <v>0</v>
      </c>
      <c r="E95" s="257">
        <v>0</v>
      </c>
      <c r="F95" s="257">
        <v>0</v>
      </c>
      <c r="G95" s="256">
        <v>4</v>
      </c>
      <c r="H95" s="257">
        <v>0</v>
      </c>
      <c r="I95" s="258">
        <f>G95+1</f>
        <v>5</v>
      </c>
      <c r="J95" s="257">
        <v>0</v>
      </c>
      <c r="K95" s="257"/>
      <c r="L95" s="259">
        <f t="shared" ref="L95:L98" si="9">(D95*SUM((E95+F95)+(G95*H95)+(I95*J95))+K95)</f>
        <v>0</v>
      </c>
      <c r="M95" s="260">
        <v>1</v>
      </c>
      <c r="N95" s="265">
        <f>L95*M95</f>
        <v>0</v>
      </c>
    </row>
    <row r="96" spans="1:14" x14ac:dyDescent="0.25">
      <c r="A96" s="254"/>
      <c r="B96" s="254"/>
      <c r="C96" s="255" t="s">
        <v>143</v>
      </c>
      <c r="D96" s="256">
        <v>0</v>
      </c>
      <c r="E96" s="257">
        <v>0</v>
      </c>
      <c r="F96" s="257">
        <v>0</v>
      </c>
      <c r="G96" s="256">
        <v>4</v>
      </c>
      <c r="H96" s="257">
        <v>0</v>
      </c>
      <c r="I96" s="258">
        <f>G96+1</f>
        <v>5</v>
      </c>
      <c r="J96" s="257">
        <v>0</v>
      </c>
      <c r="K96" s="257"/>
      <c r="L96" s="259">
        <f t="shared" si="9"/>
        <v>0</v>
      </c>
      <c r="M96" s="260">
        <v>1</v>
      </c>
      <c r="N96" s="265">
        <f>L96*M96</f>
        <v>0</v>
      </c>
    </row>
    <row r="97" spans="1:14" x14ac:dyDescent="0.25">
      <c r="A97" s="254"/>
      <c r="B97" s="254"/>
      <c r="C97" s="255" t="s">
        <v>143</v>
      </c>
      <c r="D97" s="256">
        <v>0</v>
      </c>
      <c r="E97" s="257">
        <v>0</v>
      </c>
      <c r="F97" s="257">
        <v>0</v>
      </c>
      <c r="G97" s="256">
        <v>4</v>
      </c>
      <c r="H97" s="257">
        <v>0</v>
      </c>
      <c r="I97" s="258">
        <f>G97+1</f>
        <v>5</v>
      </c>
      <c r="J97" s="257">
        <v>0</v>
      </c>
      <c r="K97" s="257"/>
      <c r="L97" s="259">
        <f t="shared" si="9"/>
        <v>0</v>
      </c>
      <c r="M97" s="260">
        <v>1</v>
      </c>
      <c r="N97" s="265">
        <f>L97*M97</f>
        <v>0</v>
      </c>
    </row>
    <row r="98" spans="1:14" ht="15.75" thickBot="1" x14ac:dyDescent="0.3">
      <c r="A98" s="254"/>
      <c r="B98" s="254"/>
      <c r="C98" s="255" t="s">
        <v>143</v>
      </c>
      <c r="D98" s="256">
        <v>0</v>
      </c>
      <c r="E98" s="257">
        <v>0</v>
      </c>
      <c r="F98" s="257">
        <v>0</v>
      </c>
      <c r="G98" s="256">
        <v>4</v>
      </c>
      <c r="H98" s="257">
        <v>0</v>
      </c>
      <c r="I98" s="258">
        <f>G98+1</f>
        <v>5</v>
      </c>
      <c r="J98" s="257">
        <v>0</v>
      </c>
      <c r="K98" s="257"/>
      <c r="L98" s="259">
        <f t="shared" si="9"/>
        <v>0</v>
      </c>
      <c r="M98" s="260">
        <v>1</v>
      </c>
      <c r="N98" s="265">
        <f>L98*M98</f>
        <v>0</v>
      </c>
    </row>
    <row r="99" spans="1:14" ht="15.75" thickBot="1" x14ac:dyDescent="0.3">
      <c r="A99" s="251"/>
      <c r="B99" s="251"/>
      <c r="C99" s="252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61">
        <f>SUM(N94:N98)</f>
        <v>0</v>
      </c>
    </row>
  </sheetData>
  <mergeCells count="10">
    <mergeCell ref="A41:N41"/>
    <mergeCell ref="A1:N1"/>
    <mergeCell ref="A11:N11"/>
    <mergeCell ref="A21:N21"/>
    <mergeCell ref="A31:N31"/>
    <mergeCell ref="A51:N51"/>
    <mergeCell ref="A62:N62"/>
    <mergeCell ref="A72:N72"/>
    <mergeCell ref="A82:N82"/>
    <mergeCell ref="A92:N92"/>
  </mergeCells>
  <pageMargins left="0.7" right="0.7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A1:Z130"/>
  <sheetViews>
    <sheetView topLeftCell="A51" zoomScale="130" zoomScaleNormal="130" workbookViewId="0">
      <selection activeCell="A76" sqref="A76"/>
    </sheetView>
  </sheetViews>
  <sheetFormatPr defaultColWidth="9.140625" defaultRowHeight="11.25" x14ac:dyDescent="0.2"/>
  <cols>
    <col min="1" max="1" width="33.28515625" style="339" customWidth="1"/>
    <col min="2" max="11" width="9" style="339" customWidth="1"/>
    <col min="12" max="12" width="9.85546875" style="341" bestFit="1" customWidth="1"/>
    <col min="13" max="13" width="40.140625" style="341" customWidth="1"/>
    <col min="14" max="14" width="29.140625" style="341" customWidth="1"/>
    <col min="15" max="16" width="9.85546875" style="341" customWidth="1"/>
    <col min="17" max="18" width="9.7109375" style="339" customWidth="1"/>
    <col min="19" max="16384" width="9.140625" style="339"/>
  </cols>
  <sheetData>
    <row r="1" spans="1:13" ht="12.75" x14ac:dyDescent="0.2">
      <c r="A1" s="67">
        <f>+'rates, dates, etc'!B4</f>
        <v>0</v>
      </c>
      <c r="D1" s="340"/>
    </row>
    <row r="2" spans="1:13" ht="12.75" x14ac:dyDescent="0.2">
      <c r="A2" s="67" t="str">
        <f>+'rates, dates, etc'!B3</f>
        <v>NSF</v>
      </c>
      <c r="M2" s="340"/>
    </row>
    <row r="3" spans="1:13" ht="12.75" customHeight="1" thickBot="1" x14ac:dyDescent="0.25"/>
    <row r="4" spans="1:13" x14ac:dyDescent="0.2">
      <c r="A4" s="68" t="s">
        <v>0</v>
      </c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242"/>
      <c r="M4" s="385"/>
    </row>
    <row r="5" spans="1:13" ht="12" thickBot="1" x14ac:dyDescent="0.25">
      <c r="A5" s="68" t="str">
        <f>CONCATENATE("PI: ",'rates, dates, etc'!B28)</f>
        <v>PI: PI</v>
      </c>
      <c r="B5" s="243">
        <f>+'rates, dates, etc'!B5</f>
        <v>45658</v>
      </c>
      <c r="C5" s="243">
        <f>+B6+1</f>
        <v>46023</v>
      </c>
      <c r="D5" s="243">
        <f t="shared" ref="D5:G5" si="0">+C6+1</f>
        <v>46388</v>
      </c>
      <c r="E5" s="243">
        <f t="shared" si="0"/>
        <v>46753</v>
      </c>
      <c r="F5" s="243">
        <f t="shared" si="0"/>
        <v>47119</v>
      </c>
      <c r="G5" s="243">
        <f t="shared" si="0"/>
        <v>47484</v>
      </c>
      <c r="H5" s="243">
        <f t="shared" ref="H5" si="1">+G6+1</f>
        <v>47849</v>
      </c>
      <c r="I5" s="243">
        <f t="shared" ref="I5" si="2">+H6+1</f>
        <v>48214</v>
      </c>
      <c r="J5" s="243">
        <f t="shared" ref="J5" si="3">+I6+1</f>
        <v>48580</v>
      </c>
      <c r="K5" s="243">
        <f t="shared" ref="K5" si="4">+J6+1</f>
        <v>48945</v>
      </c>
      <c r="L5" s="244"/>
      <c r="M5" s="386"/>
    </row>
    <row r="6" spans="1:13" ht="12" thickBot="1" x14ac:dyDescent="0.25">
      <c r="A6" s="71" t="s">
        <v>4</v>
      </c>
      <c r="B6" s="245">
        <f>DATE(YEAR(B5), MONTH(B5) + 12, DAY(B5))-1</f>
        <v>46022</v>
      </c>
      <c r="C6" s="245">
        <f t="shared" ref="C6:F6" si="5">DATE(YEAR(C5), MONTH(C5) + 12, DAY(C5))-1</f>
        <v>46387</v>
      </c>
      <c r="D6" s="245">
        <f t="shared" si="5"/>
        <v>46752</v>
      </c>
      <c r="E6" s="245">
        <f t="shared" si="5"/>
        <v>47118</v>
      </c>
      <c r="F6" s="245">
        <f t="shared" si="5"/>
        <v>47483</v>
      </c>
      <c r="G6" s="245">
        <f t="shared" ref="G6:K6" si="6">DATE(YEAR(G5), MONTH(G5) + 12, DAY(G5))-1</f>
        <v>47848</v>
      </c>
      <c r="H6" s="245">
        <f t="shared" si="6"/>
        <v>48213</v>
      </c>
      <c r="I6" s="245">
        <f t="shared" si="6"/>
        <v>48579</v>
      </c>
      <c r="J6" s="245">
        <f t="shared" si="6"/>
        <v>48944</v>
      </c>
      <c r="K6" s="245">
        <f t="shared" si="6"/>
        <v>49309</v>
      </c>
      <c r="L6" s="262" t="s">
        <v>5</v>
      </c>
      <c r="M6" s="387" t="s">
        <v>166</v>
      </c>
    </row>
    <row r="7" spans="1:13" x14ac:dyDescent="0.2">
      <c r="A7" s="74" t="s">
        <v>116</v>
      </c>
      <c r="B7" s="1"/>
      <c r="C7" s="1"/>
      <c r="D7" s="1"/>
      <c r="E7" s="1"/>
      <c r="F7" s="1"/>
      <c r="G7" s="1"/>
      <c r="H7" s="1"/>
      <c r="I7" s="1"/>
      <c r="J7" s="1"/>
      <c r="K7" s="1"/>
      <c r="L7" s="8" t="s">
        <v>6</v>
      </c>
      <c r="M7" s="382"/>
    </row>
    <row r="8" spans="1:13" x14ac:dyDescent="0.2">
      <c r="A8" s="3" t="str">
        <f>+'Lead Budget'!A8</f>
        <v>PI</v>
      </c>
      <c r="B8" s="357">
        <f>+'Lead Budget'!B8</f>
        <v>0</v>
      </c>
      <c r="C8" s="357">
        <f>+'Lead Budget'!C8</f>
        <v>0</v>
      </c>
      <c r="D8" s="357">
        <f>+'Lead Budget'!D8</f>
        <v>0</v>
      </c>
      <c r="E8" s="357">
        <f>+'Lead Budget'!E8</f>
        <v>0</v>
      </c>
      <c r="F8" s="357">
        <f>+'Lead Budget'!F8</f>
        <v>0</v>
      </c>
      <c r="G8" s="357">
        <f>+'Lead Budget'!G8</f>
        <v>0</v>
      </c>
      <c r="H8" s="357">
        <f>+'Lead Budget'!H8</f>
        <v>0</v>
      </c>
      <c r="I8" s="357">
        <f>+'Lead Budget'!I8</f>
        <v>0</v>
      </c>
      <c r="J8" s="357">
        <f>+'Lead Budget'!J8</f>
        <v>0</v>
      </c>
      <c r="K8" s="357">
        <f>+'Lead Budget'!K8</f>
        <v>0</v>
      </c>
      <c r="L8" s="358">
        <f>SUM(B8:K8)</f>
        <v>0</v>
      </c>
      <c r="M8" s="382"/>
    </row>
    <row r="9" spans="1:13" x14ac:dyDescent="0.2">
      <c r="A9" s="3" t="str">
        <f>+'Lead Budget'!A9</f>
        <v>Co-PI</v>
      </c>
      <c r="B9" s="357">
        <f>+'Lead Budget'!B9</f>
        <v>0</v>
      </c>
      <c r="C9" s="357">
        <f>+'Lead Budget'!C9</f>
        <v>0</v>
      </c>
      <c r="D9" s="357">
        <f>+'Lead Budget'!D9</f>
        <v>0</v>
      </c>
      <c r="E9" s="357">
        <f>+'Lead Budget'!E9</f>
        <v>0</v>
      </c>
      <c r="F9" s="357">
        <f>+'Lead Budget'!F9</f>
        <v>0</v>
      </c>
      <c r="G9" s="357">
        <f>+'Lead Budget'!G9</f>
        <v>0</v>
      </c>
      <c r="H9" s="357">
        <f>+'Lead Budget'!H9</f>
        <v>0</v>
      </c>
      <c r="I9" s="357">
        <f>+'Lead Budget'!I9</f>
        <v>0</v>
      </c>
      <c r="J9" s="357">
        <f>+'Lead Budget'!J9</f>
        <v>0</v>
      </c>
      <c r="K9" s="357">
        <f>+'Lead Budget'!K9</f>
        <v>0</v>
      </c>
      <c r="L9" s="358">
        <f t="shared" ref="L9:L25" si="7">SUM(B9:K9)</f>
        <v>0</v>
      </c>
      <c r="M9" s="382"/>
    </row>
    <row r="10" spans="1:13" x14ac:dyDescent="0.2">
      <c r="A10" s="3" t="str">
        <f>+'Lead Budget'!A10</f>
        <v>Co-PI</v>
      </c>
      <c r="B10" s="357">
        <f>+'Lead Budget'!B10</f>
        <v>0</v>
      </c>
      <c r="C10" s="357">
        <f>+'Lead Budget'!C10</f>
        <v>0</v>
      </c>
      <c r="D10" s="357">
        <f>+'Lead Budget'!D10</f>
        <v>0</v>
      </c>
      <c r="E10" s="357">
        <f>+'Lead Budget'!E10</f>
        <v>0</v>
      </c>
      <c r="F10" s="357">
        <f>+'Lead Budget'!F10</f>
        <v>0</v>
      </c>
      <c r="G10" s="357">
        <f>+'Lead Budget'!G10</f>
        <v>0</v>
      </c>
      <c r="H10" s="357">
        <f>+'Lead Budget'!H10</f>
        <v>0</v>
      </c>
      <c r="I10" s="357">
        <f>+'Lead Budget'!I10</f>
        <v>0</v>
      </c>
      <c r="J10" s="357">
        <f>+'Lead Budget'!J10</f>
        <v>0</v>
      </c>
      <c r="K10" s="357">
        <f>+'Lead Budget'!K10</f>
        <v>0</v>
      </c>
      <c r="L10" s="358">
        <f t="shared" si="7"/>
        <v>0</v>
      </c>
      <c r="M10" s="382"/>
    </row>
    <row r="11" spans="1:13" x14ac:dyDescent="0.2">
      <c r="A11" s="3" t="str">
        <f>+'Co-PI Budget (1)'!A8</f>
        <v>Co-PI</v>
      </c>
      <c r="B11" s="357">
        <f>+'Co-PI Budget (1)'!B8</f>
        <v>0</v>
      </c>
      <c r="C11" s="357">
        <f>+'Co-PI Budget (1)'!C8</f>
        <v>0</v>
      </c>
      <c r="D11" s="357">
        <f>+'Co-PI Budget (1)'!D8</f>
        <v>0</v>
      </c>
      <c r="E11" s="357">
        <f>+'Co-PI Budget (1)'!E8</f>
        <v>0</v>
      </c>
      <c r="F11" s="357">
        <f>+'Co-PI Budget (1)'!F8</f>
        <v>0</v>
      </c>
      <c r="G11" s="357">
        <f>+'Co-PI Budget (1)'!G8</f>
        <v>0</v>
      </c>
      <c r="H11" s="357">
        <f>+'Co-PI Budget (1)'!H8</f>
        <v>0</v>
      </c>
      <c r="I11" s="357">
        <f>+'Co-PI Budget (1)'!I8</f>
        <v>0</v>
      </c>
      <c r="J11" s="357">
        <f>+'Co-PI Budget (1)'!J8</f>
        <v>0</v>
      </c>
      <c r="K11" s="357">
        <f>+'Co-PI Budget (1)'!K8</f>
        <v>0</v>
      </c>
      <c r="L11" s="358">
        <f t="shared" si="7"/>
        <v>0</v>
      </c>
      <c r="M11" s="382"/>
    </row>
    <row r="12" spans="1:13" x14ac:dyDescent="0.2">
      <c r="A12" s="3" t="str">
        <f>+'Co-PI Budget (1)'!A9</f>
        <v>Co-PI</v>
      </c>
      <c r="B12" s="357">
        <f>+'Co-PI Budget (1)'!B9</f>
        <v>0</v>
      </c>
      <c r="C12" s="357">
        <f>+'Co-PI Budget (1)'!C9</f>
        <v>0</v>
      </c>
      <c r="D12" s="357">
        <f>+'Co-PI Budget (1)'!D9</f>
        <v>0</v>
      </c>
      <c r="E12" s="357">
        <f>+'Co-PI Budget (1)'!E9</f>
        <v>0</v>
      </c>
      <c r="F12" s="357">
        <f>+'Co-PI Budget (1)'!F9</f>
        <v>0</v>
      </c>
      <c r="G12" s="357">
        <f>+'Co-PI Budget (1)'!G9</f>
        <v>0</v>
      </c>
      <c r="H12" s="357">
        <f>+'Co-PI Budget (1)'!H9</f>
        <v>0</v>
      </c>
      <c r="I12" s="357">
        <f>+'Co-PI Budget (1)'!I9</f>
        <v>0</v>
      </c>
      <c r="J12" s="357">
        <f>+'Co-PI Budget (1)'!J9</f>
        <v>0</v>
      </c>
      <c r="K12" s="357">
        <f>+'Co-PI Budget (1)'!K9</f>
        <v>0</v>
      </c>
      <c r="L12" s="358">
        <f t="shared" si="7"/>
        <v>0</v>
      </c>
      <c r="M12" s="382"/>
    </row>
    <row r="13" spans="1:13" x14ac:dyDescent="0.2">
      <c r="A13" s="3" t="str">
        <f>+'Co-PI Budget (1)'!A10</f>
        <v>Co-PI</v>
      </c>
      <c r="B13" s="357">
        <f>+'Co-PI Budget (1)'!B10</f>
        <v>0</v>
      </c>
      <c r="C13" s="357">
        <f>+'Co-PI Budget (1)'!C10</f>
        <v>0</v>
      </c>
      <c r="D13" s="357">
        <f>+'Co-PI Budget (1)'!D10</f>
        <v>0</v>
      </c>
      <c r="E13" s="357">
        <f>+'Co-PI Budget (1)'!E10</f>
        <v>0</v>
      </c>
      <c r="F13" s="357">
        <f>+'Co-PI Budget (1)'!F10</f>
        <v>0</v>
      </c>
      <c r="G13" s="357">
        <f>+'Co-PI Budget (1)'!G10</f>
        <v>0</v>
      </c>
      <c r="H13" s="357">
        <f>+'Co-PI Budget (1)'!H10</f>
        <v>0</v>
      </c>
      <c r="I13" s="357">
        <f>+'Co-PI Budget (1)'!I10</f>
        <v>0</v>
      </c>
      <c r="J13" s="357">
        <f>+'Co-PI Budget (1)'!J10</f>
        <v>0</v>
      </c>
      <c r="K13" s="357">
        <f>+'Co-PI Budget (1)'!K10</f>
        <v>0</v>
      </c>
      <c r="L13" s="358">
        <f t="shared" si="7"/>
        <v>0</v>
      </c>
      <c r="M13" s="382"/>
    </row>
    <row r="14" spans="1:13" x14ac:dyDescent="0.2">
      <c r="A14" s="3" t="str">
        <f>+'Co-PI Budget (2)'!A8</f>
        <v>Co-PI</v>
      </c>
      <c r="B14" s="357">
        <f>+'Co-PI Budget (2)'!B8</f>
        <v>0</v>
      </c>
      <c r="C14" s="357">
        <f>+'Co-PI Budget (2)'!C8</f>
        <v>0</v>
      </c>
      <c r="D14" s="357">
        <f>+'Co-PI Budget (2)'!D8</f>
        <v>0</v>
      </c>
      <c r="E14" s="357">
        <f>+'Co-PI Budget (2)'!E8</f>
        <v>0</v>
      </c>
      <c r="F14" s="357">
        <f>+'Co-PI Budget (2)'!F8</f>
        <v>0</v>
      </c>
      <c r="G14" s="357">
        <f>+'Co-PI Budget (2)'!G8</f>
        <v>0</v>
      </c>
      <c r="H14" s="357">
        <f>+'Co-PI Budget (2)'!H8</f>
        <v>0</v>
      </c>
      <c r="I14" s="357">
        <f>+'Co-PI Budget (2)'!I8</f>
        <v>0</v>
      </c>
      <c r="J14" s="357">
        <f>+'Co-PI Budget (2)'!J8</f>
        <v>0</v>
      </c>
      <c r="K14" s="357">
        <f>+'Co-PI Budget (2)'!K8</f>
        <v>0</v>
      </c>
      <c r="L14" s="358">
        <f t="shared" si="7"/>
        <v>0</v>
      </c>
      <c r="M14" s="382"/>
    </row>
    <row r="15" spans="1:13" x14ac:dyDescent="0.2">
      <c r="A15" s="3" t="str">
        <f>+'Co-PI Budget (2)'!A9</f>
        <v>Co-PI</v>
      </c>
      <c r="B15" s="357">
        <f>+'Co-PI Budget (2)'!B9</f>
        <v>0</v>
      </c>
      <c r="C15" s="357">
        <f>+'Co-PI Budget (2)'!C9</f>
        <v>0</v>
      </c>
      <c r="D15" s="357">
        <f>+'Co-PI Budget (2)'!D9</f>
        <v>0</v>
      </c>
      <c r="E15" s="357">
        <f>+'Co-PI Budget (2)'!E9</f>
        <v>0</v>
      </c>
      <c r="F15" s="357">
        <f>+'Co-PI Budget (2)'!F9</f>
        <v>0</v>
      </c>
      <c r="G15" s="357">
        <f>+'Co-PI Budget (2)'!G9</f>
        <v>0</v>
      </c>
      <c r="H15" s="357">
        <f>+'Co-PI Budget (2)'!H9</f>
        <v>0</v>
      </c>
      <c r="I15" s="357">
        <f>+'Co-PI Budget (2)'!I9</f>
        <v>0</v>
      </c>
      <c r="J15" s="357">
        <f>+'Co-PI Budget (2)'!J9</f>
        <v>0</v>
      </c>
      <c r="K15" s="357">
        <f>+'Co-PI Budget (2)'!K9</f>
        <v>0</v>
      </c>
      <c r="L15" s="358">
        <f t="shared" si="7"/>
        <v>0</v>
      </c>
      <c r="M15" s="382"/>
    </row>
    <row r="16" spans="1:13" x14ac:dyDescent="0.2">
      <c r="A16" s="3" t="str">
        <f>+'Co-PI Budget (2)'!A10</f>
        <v>Co-PI</v>
      </c>
      <c r="B16" s="357">
        <f>+'Co-PI Budget (2)'!B10</f>
        <v>0</v>
      </c>
      <c r="C16" s="357">
        <f>+'Co-PI Budget (2)'!C10</f>
        <v>0</v>
      </c>
      <c r="D16" s="357">
        <f>+'Co-PI Budget (2)'!D10</f>
        <v>0</v>
      </c>
      <c r="E16" s="357">
        <f>+'Co-PI Budget (2)'!E10</f>
        <v>0</v>
      </c>
      <c r="F16" s="357">
        <f>+'Co-PI Budget (2)'!F10</f>
        <v>0</v>
      </c>
      <c r="G16" s="357">
        <f>+'Co-PI Budget (2)'!G10</f>
        <v>0</v>
      </c>
      <c r="H16" s="357">
        <f>+'Co-PI Budget (2)'!H10</f>
        <v>0</v>
      </c>
      <c r="I16" s="357">
        <f>+'Co-PI Budget (2)'!I10</f>
        <v>0</v>
      </c>
      <c r="J16" s="357">
        <f>+'Co-PI Budget (2)'!J10</f>
        <v>0</v>
      </c>
      <c r="K16" s="357">
        <f>+'Co-PI Budget (2)'!K10</f>
        <v>0</v>
      </c>
      <c r="L16" s="358">
        <f t="shared" si="7"/>
        <v>0</v>
      </c>
      <c r="M16" s="382"/>
    </row>
    <row r="17" spans="1:13" x14ac:dyDescent="0.2">
      <c r="A17" s="3" t="str">
        <f>+'Co-PI Budget (3)'!A8</f>
        <v>Co-PI</v>
      </c>
      <c r="B17" s="357">
        <f>+'Co-PI Budget (3)'!B8</f>
        <v>0</v>
      </c>
      <c r="C17" s="357">
        <f>+'Co-PI Budget (3)'!C8</f>
        <v>0</v>
      </c>
      <c r="D17" s="357">
        <f>+'Co-PI Budget (3)'!D8</f>
        <v>0</v>
      </c>
      <c r="E17" s="357">
        <f>+'Co-PI Budget (3)'!E8</f>
        <v>0</v>
      </c>
      <c r="F17" s="357">
        <f>+'Co-PI Budget (3)'!F8</f>
        <v>0</v>
      </c>
      <c r="G17" s="357">
        <f>+'Co-PI Budget (3)'!G8</f>
        <v>0</v>
      </c>
      <c r="H17" s="357">
        <f>+'Co-PI Budget (3)'!H8</f>
        <v>0</v>
      </c>
      <c r="I17" s="357">
        <f>+'Co-PI Budget (3)'!I8</f>
        <v>0</v>
      </c>
      <c r="J17" s="357">
        <f>+'Co-PI Budget (3)'!J8</f>
        <v>0</v>
      </c>
      <c r="K17" s="357">
        <f>+'Co-PI Budget (3)'!K8</f>
        <v>0</v>
      </c>
      <c r="L17" s="358">
        <f t="shared" si="7"/>
        <v>0</v>
      </c>
      <c r="M17" s="382"/>
    </row>
    <row r="18" spans="1:13" x14ac:dyDescent="0.2">
      <c r="A18" s="3" t="str">
        <f>+'Co-PI Budget (3)'!A9</f>
        <v>Co-PI</v>
      </c>
      <c r="B18" s="357">
        <f>+'Co-PI Budget (3)'!B9</f>
        <v>0</v>
      </c>
      <c r="C18" s="357">
        <f>+'Co-PI Budget (3)'!C9</f>
        <v>0</v>
      </c>
      <c r="D18" s="357">
        <f>+'Co-PI Budget (3)'!D9</f>
        <v>0</v>
      </c>
      <c r="E18" s="357">
        <f>+'Co-PI Budget (3)'!E9</f>
        <v>0</v>
      </c>
      <c r="F18" s="357">
        <f>+'Co-PI Budget (3)'!F9</f>
        <v>0</v>
      </c>
      <c r="G18" s="357">
        <f>+'Co-PI Budget (3)'!G9</f>
        <v>0</v>
      </c>
      <c r="H18" s="357">
        <f>+'Co-PI Budget (3)'!H9</f>
        <v>0</v>
      </c>
      <c r="I18" s="357">
        <f>+'Co-PI Budget (3)'!I9</f>
        <v>0</v>
      </c>
      <c r="J18" s="357">
        <f>+'Co-PI Budget (3)'!J9</f>
        <v>0</v>
      </c>
      <c r="K18" s="357">
        <f>+'Co-PI Budget (3)'!K9</f>
        <v>0</v>
      </c>
      <c r="L18" s="358">
        <f t="shared" si="7"/>
        <v>0</v>
      </c>
      <c r="M18" s="382"/>
    </row>
    <row r="19" spans="1:13" x14ac:dyDescent="0.2">
      <c r="A19" s="3" t="str">
        <f>+'Co-PI Budget (3)'!A10</f>
        <v>Co-PI</v>
      </c>
      <c r="B19" s="357">
        <f>+'Co-PI Budget (3)'!B10</f>
        <v>0</v>
      </c>
      <c r="C19" s="357">
        <f>+'Co-PI Budget (3)'!C10</f>
        <v>0</v>
      </c>
      <c r="D19" s="357">
        <f>+'Co-PI Budget (3)'!D10</f>
        <v>0</v>
      </c>
      <c r="E19" s="357">
        <f>+'Co-PI Budget (3)'!E10</f>
        <v>0</v>
      </c>
      <c r="F19" s="357">
        <f>+'Co-PI Budget (3)'!F10</f>
        <v>0</v>
      </c>
      <c r="G19" s="357">
        <f>+'Co-PI Budget (3)'!G10</f>
        <v>0</v>
      </c>
      <c r="H19" s="357">
        <f>+'Co-PI Budget (3)'!H10</f>
        <v>0</v>
      </c>
      <c r="I19" s="357">
        <f>+'Co-PI Budget (3)'!I10</f>
        <v>0</v>
      </c>
      <c r="J19" s="357">
        <f>+'Co-PI Budget (3)'!J10</f>
        <v>0</v>
      </c>
      <c r="K19" s="357">
        <f>+'Co-PI Budget (3)'!K10</f>
        <v>0</v>
      </c>
      <c r="L19" s="358">
        <f t="shared" si="7"/>
        <v>0</v>
      </c>
      <c r="M19" s="382"/>
    </row>
    <row r="20" spans="1:13" x14ac:dyDescent="0.2">
      <c r="A20" s="3" t="str">
        <f>+'Co-PI Budget (4)'!A8</f>
        <v>Co-PI</v>
      </c>
      <c r="B20" s="357">
        <f>+'Co-PI Budget (4)'!B8</f>
        <v>0</v>
      </c>
      <c r="C20" s="357">
        <f>+'Co-PI Budget (4)'!C8</f>
        <v>0</v>
      </c>
      <c r="D20" s="357">
        <f>+'Co-PI Budget (4)'!D8</f>
        <v>0</v>
      </c>
      <c r="E20" s="357">
        <f>+'Co-PI Budget (4)'!E8</f>
        <v>0</v>
      </c>
      <c r="F20" s="357">
        <f>+'Co-PI Budget (4)'!F8</f>
        <v>0</v>
      </c>
      <c r="G20" s="357">
        <f>+'Co-PI Budget (4)'!G8</f>
        <v>0</v>
      </c>
      <c r="H20" s="357">
        <f>+'Co-PI Budget (4)'!H8</f>
        <v>0</v>
      </c>
      <c r="I20" s="357">
        <f>+'Co-PI Budget (4)'!I8</f>
        <v>0</v>
      </c>
      <c r="J20" s="357">
        <f>+'Co-PI Budget (4)'!J8</f>
        <v>0</v>
      </c>
      <c r="K20" s="357">
        <f>+'Co-PI Budget (4)'!K8</f>
        <v>0</v>
      </c>
      <c r="L20" s="358">
        <f t="shared" si="7"/>
        <v>0</v>
      </c>
      <c r="M20" s="382"/>
    </row>
    <row r="21" spans="1:13" x14ac:dyDescent="0.2">
      <c r="A21" s="3" t="str">
        <f>+'Co-PI Budget (4)'!A9</f>
        <v>Co-PI</v>
      </c>
      <c r="B21" s="357">
        <f>+'Co-PI Budget (4)'!B9</f>
        <v>0</v>
      </c>
      <c r="C21" s="357">
        <f>+'Co-PI Budget (4)'!C9</f>
        <v>0</v>
      </c>
      <c r="D21" s="357">
        <f>+'Co-PI Budget (4)'!D9</f>
        <v>0</v>
      </c>
      <c r="E21" s="357">
        <f>+'Co-PI Budget (4)'!E9</f>
        <v>0</v>
      </c>
      <c r="F21" s="357">
        <f>+'Co-PI Budget (4)'!F9</f>
        <v>0</v>
      </c>
      <c r="G21" s="357">
        <f>+'Co-PI Budget (4)'!G9</f>
        <v>0</v>
      </c>
      <c r="H21" s="357">
        <f>+'Co-PI Budget (4)'!H9</f>
        <v>0</v>
      </c>
      <c r="I21" s="357">
        <f>+'Co-PI Budget (4)'!I9</f>
        <v>0</v>
      </c>
      <c r="J21" s="357">
        <f>+'Co-PI Budget (4)'!J9</f>
        <v>0</v>
      </c>
      <c r="K21" s="357">
        <f>+'Co-PI Budget (4)'!K9</f>
        <v>0</v>
      </c>
      <c r="L21" s="358">
        <f t="shared" si="7"/>
        <v>0</v>
      </c>
      <c r="M21" s="382"/>
    </row>
    <row r="22" spans="1:13" x14ac:dyDescent="0.2">
      <c r="A22" s="3" t="str">
        <f>+'Co-PI Budget (4)'!A10</f>
        <v>Co-PI</v>
      </c>
      <c r="B22" s="357">
        <f>+'Co-PI Budget (4)'!B10</f>
        <v>0</v>
      </c>
      <c r="C22" s="357">
        <f>+'Co-PI Budget (4)'!C10</f>
        <v>0</v>
      </c>
      <c r="D22" s="357">
        <f>+'Co-PI Budget (4)'!D10</f>
        <v>0</v>
      </c>
      <c r="E22" s="357">
        <f>+'Co-PI Budget (4)'!E10</f>
        <v>0</v>
      </c>
      <c r="F22" s="357">
        <f>+'Co-PI Budget (4)'!F10</f>
        <v>0</v>
      </c>
      <c r="G22" s="357">
        <f>+'Co-PI Budget (4)'!G10</f>
        <v>0</v>
      </c>
      <c r="H22" s="357">
        <f>+'Co-PI Budget (4)'!H10</f>
        <v>0</v>
      </c>
      <c r="I22" s="357">
        <f>+'Co-PI Budget (4)'!I10</f>
        <v>0</v>
      </c>
      <c r="J22" s="357">
        <f>+'Co-PI Budget (4)'!J10</f>
        <v>0</v>
      </c>
      <c r="K22" s="357">
        <f>+'Co-PI Budget (4)'!K10</f>
        <v>0</v>
      </c>
      <c r="L22" s="358">
        <f t="shared" si="7"/>
        <v>0</v>
      </c>
      <c r="M22" s="382"/>
    </row>
    <row r="23" spans="1:13" x14ac:dyDescent="0.2">
      <c r="A23" s="3" t="str">
        <f>+'Co-PI Budget (5)'!A8</f>
        <v>Co-PI</v>
      </c>
      <c r="B23" s="357">
        <f>+'Co-PI Budget (5)'!B8</f>
        <v>0</v>
      </c>
      <c r="C23" s="357">
        <f>+'Co-PI Budget (5)'!C8</f>
        <v>0</v>
      </c>
      <c r="D23" s="357">
        <f>+'Co-PI Budget (5)'!D8</f>
        <v>0</v>
      </c>
      <c r="E23" s="357">
        <f>+'Co-PI Budget (5)'!E8</f>
        <v>0</v>
      </c>
      <c r="F23" s="357">
        <f>+'Co-PI Budget (5)'!F8</f>
        <v>0</v>
      </c>
      <c r="G23" s="357">
        <f>+'Co-PI Budget (5)'!G8</f>
        <v>0</v>
      </c>
      <c r="H23" s="357">
        <f>+'Co-PI Budget (5)'!H8</f>
        <v>0</v>
      </c>
      <c r="I23" s="357">
        <f>+'Co-PI Budget (5)'!I8</f>
        <v>0</v>
      </c>
      <c r="J23" s="357">
        <f>+'Co-PI Budget (5)'!J8</f>
        <v>0</v>
      </c>
      <c r="K23" s="357">
        <f>+'Co-PI Budget (5)'!K8</f>
        <v>0</v>
      </c>
      <c r="L23" s="358">
        <f t="shared" si="7"/>
        <v>0</v>
      </c>
      <c r="M23" s="382"/>
    </row>
    <row r="24" spans="1:13" x14ac:dyDescent="0.2">
      <c r="A24" s="3" t="str">
        <f>+'Co-PI Budget (5)'!A9</f>
        <v>Co-PI</v>
      </c>
      <c r="B24" s="357">
        <f>+'Co-PI Budget (5)'!B9</f>
        <v>0</v>
      </c>
      <c r="C24" s="357">
        <f>+'Co-PI Budget (5)'!C9</f>
        <v>0</v>
      </c>
      <c r="D24" s="357">
        <f>+'Co-PI Budget (5)'!D9</f>
        <v>0</v>
      </c>
      <c r="E24" s="357">
        <f>+'Co-PI Budget (5)'!E9</f>
        <v>0</v>
      </c>
      <c r="F24" s="357">
        <f>+'Co-PI Budget (5)'!F9</f>
        <v>0</v>
      </c>
      <c r="G24" s="357">
        <f>+'Co-PI Budget (5)'!G9</f>
        <v>0</v>
      </c>
      <c r="H24" s="357">
        <f>+'Co-PI Budget (5)'!H9</f>
        <v>0</v>
      </c>
      <c r="I24" s="357">
        <f>+'Co-PI Budget (5)'!I9</f>
        <v>0</v>
      </c>
      <c r="J24" s="357">
        <f>+'Co-PI Budget (5)'!J9</f>
        <v>0</v>
      </c>
      <c r="K24" s="357">
        <f>+'Co-PI Budget (5)'!K9</f>
        <v>0</v>
      </c>
      <c r="L24" s="358">
        <f t="shared" si="7"/>
        <v>0</v>
      </c>
      <c r="M24" s="382"/>
    </row>
    <row r="25" spans="1:13" x14ac:dyDescent="0.2">
      <c r="A25" s="3" t="str">
        <f>+'Co-PI Budget (5)'!A10</f>
        <v>Co-PI</v>
      </c>
      <c r="B25" s="357">
        <f>+'Co-PI Budget (5)'!B10</f>
        <v>0</v>
      </c>
      <c r="C25" s="357">
        <f>+'Co-PI Budget (5)'!C10</f>
        <v>0</v>
      </c>
      <c r="D25" s="357">
        <f>+'Co-PI Budget (5)'!D10</f>
        <v>0</v>
      </c>
      <c r="E25" s="357">
        <f>+'Co-PI Budget (5)'!E10</f>
        <v>0</v>
      </c>
      <c r="F25" s="357">
        <f>+'Co-PI Budget (5)'!F10</f>
        <v>0</v>
      </c>
      <c r="G25" s="357">
        <f>+'Co-PI Budget (5)'!G10</f>
        <v>0</v>
      </c>
      <c r="H25" s="357">
        <f>+'Co-PI Budget (5)'!H10</f>
        <v>0</v>
      </c>
      <c r="I25" s="357">
        <f>+'Co-PI Budget (5)'!I10</f>
        <v>0</v>
      </c>
      <c r="J25" s="357">
        <f>+'Co-PI Budget (5)'!J10</f>
        <v>0</v>
      </c>
      <c r="K25" s="357">
        <f>+'Co-PI Budget (5)'!K10</f>
        <v>0</v>
      </c>
      <c r="L25" s="358">
        <f t="shared" si="7"/>
        <v>0</v>
      </c>
      <c r="M25" s="382"/>
    </row>
    <row r="26" spans="1:13" ht="12" thickBot="1" x14ac:dyDescent="0.25">
      <c r="A26" s="76" t="str">
        <f>CONCATENATE("Total ",A7)</f>
        <v>Total Senior Personnel</v>
      </c>
      <c r="B26" s="359">
        <f>SUM(B7:B25)</f>
        <v>0</v>
      </c>
      <c r="C26" s="359">
        <f t="shared" ref="C26:F26" si="8">SUM(C7:C25)</f>
        <v>0</v>
      </c>
      <c r="D26" s="359">
        <f t="shared" si="8"/>
        <v>0</v>
      </c>
      <c r="E26" s="359">
        <f t="shared" si="8"/>
        <v>0</v>
      </c>
      <c r="F26" s="359">
        <f t="shared" si="8"/>
        <v>0</v>
      </c>
      <c r="G26" s="359">
        <f t="shared" ref="G26:K26" si="9">SUM(G7:G25)</f>
        <v>0</v>
      </c>
      <c r="H26" s="359">
        <f t="shared" si="9"/>
        <v>0</v>
      </c>
      <c r="I26" s="359">
        <f t="shared" si="9"/>
        <v>0</v>
      </c>
      <c r="J26" s="359">
        <f t="shared" si="9"/>
        <v>0</v>
      </c>
      <c r="K26" s="359">
        <f t="shared" si="9"/>
        <v>0</v>
      </c>
      <c r="L26" s="360">
        <f>SUM(L7:L25)</f>
        <v>0</v>
      </c>
      <c r="M26" s="382"/>
    </row>
    <row r="27" spans="1:13" x14ac:dyDescent="0.2">
      <c r="A27" s="75" t="s">
        <v>117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358"/>
      <c r="M27" s="382"/>
    </row>
    <row r="28" spans="1:13" x14ac:dyDescent="0.2">
      <c r="A28" s="3" t="str">
        <f>+'Lead Budget'!A13</f>
        <v>Post Doctoral Scholar(s)</v>
      </c>
      <c r="B28" s="5">
        <f>+'Lead Budget'!B13+'Co-PI Budget (1)'!B13+'Co-PI Budget (2)'!B13+'Co-PI Budget (3)'!B13+'Co-PI Budget (4)'!B13+'Co-PI Budget (5)'!B13</f>
        <v>0</v>
      </c>
      <c r="C28" s="5">
        <f>+'Lead Budget'!C13+'Co-PI Budget (1)'!C13+'Co-PI Budget (2)'!C13+'Co-PI Budget (3)'!C13+'Co-PI Budget (4)'!C13+'Co-PI Budget (5)'!C13</f>
        <v>0</v>
      </c>
      <c r="D28" s="5">
        <f>+'Lead Budget'!D13+'Co-PI Budget (1)'!D13+'Co-PI Budget (2)'!D13+'Co-PI Budget (3)'!D13+'Co-PI Budget (4)'!D13+'Co-PI Budget (5)'!D13</f>
        <v>0</v>
      </c>
      <c r="E28" s="5">
        <f>+'Lead Budget'!E13+'Co-PI Budget (1)'!E13+'Co-PI Budget (2)'!E13+'Co-PI Budget (3)'!E13+'Co-PI Budget (4)'!E13+'Co-PI Budget (5)'!E13</f>
        <v>0</v>
      </c>
      <c r="F28" s="5">
        <f>+'Lead Budget'!F13+'Co-PI Budget (1)'!F13+'Co-PI Budget (2)'!F13+'Co-PI Budget (3)'!F13+'Co-PI Budget (4)'!F13+'Co-PI Budget (5)'!F13</f>
        <v>0</v>
      </c>
      <c r="G28" s="5">
        <f>+'Lead Budget'!G13+'Co-PI Budget (1)'!G13+'Co-PI Budget (2)'!G13+'Co-PI Budget (3)'!G13+'Co-PI Budget (4)'!G13+'Co-PI Budget (5)'!G13</f>
        <v>0</v>
      </c>
      <c r="H28" s="5">
        <f>+'Lead Budget'!H13+'Co-PI Budget (1)'!H13+'Co-PI Budget (2)'!H13+'Co-PI Budget (3)'!H13+'Co-PI Budget (4)'!H13+'Co-PI Budget (5)'!H13</f>
        <v>0</v>
      </c>
      <c r="I28" s="5">
        <f>+'Lead Budget'!I13+'Co-PI Budget (1)'!I13+'Co-PI Budget (2)'!I13+'Co-PI Budget (3)'!I13+'Co-PI Budget (4)'!I13+'Co-PI Budget (5)'!I13</f>
        <v>0</v>
      </c>
      <c r="J28" s="5">
        <f>+'Lead Budget'!J13+'Co-PI Budget (1)'!J13+'Co-PI Budget (2)'!J13+'Co-PI Budget (3)'!J13+'Co-PI Budget (4)'!J13+'Co-PI Budget (5)'!J13</f>
        <v>0</v>
      </c>
      <c r="K28" s="5">
        <f>+'Lead Budget'!K13+'Co-PI Budget (1)'!K13+'Co-PI Budget (2)'!K13+'Co-PI Budget (3)'!K13+'Co-PI Budget (4)'!K13+'Co-PI Budget (5)'!K13</f>
        <v>0</v>
      </c>
      <c r="L28" s="358">
        <f>SUM(B28:K28)</f>
        <v>0</v>
      </c>
      <c r="M28" s="382"/>
    </row>
    <row r="29" spans="1:13" x14ac:dyDescent="0.2">
      <c r="A29" s="3" t="str">
        <f>+'Lead Budget'!A14</f>
        <v>Other Professional(s) (Technicians, etc)</v>
      </c>
      <c r="B29" s="5">
        <f>+'Lead Budget'!B14+'Co-PI Budget (1)'!B14+'Co-PI Budget (2)'!B14+'Co-PI Budget (3)'!B14+'Co-PI Budget (4)'!B14+'Co-PI Budget (5)'!B14</f>
        <v>0</v>
      </c>
      <c r="C29" s="5">
        <f>+'Lead Budget'!C14+'Co-PI Budget (1)'!C14+'Co-PI Budget (2)'!C14+'Co-PI Budget (3)'!C14+'Co-PI Budget (4)'!C14+'Co-PI Budget (5)'!C14</f>
        <v>0</v>
      </c>
      <c r="D29" s="5">
        <f>+'Lead Budget'!D14+'Co-PI Budget (1)'!D14+'Co-PI Budget (2)'!D14+'Co-PI Budget (3)'!D14+'Co-PI Budget (4)'!D14+'Co-PI Budget (5)'!D14</f>
        <v>0</v>
      </c>
      <c r="E29" s="5">
        <f>+'Lead Budget'!E14+'Co-PI Budget (1)'!E14+'Co-PI Budget (2)'!E14+'Co-PI Budget (3)'!E14+'Co-PI Budget (4)'!E14+'Co-PI Budget (5)'!E14</f>
        <v>0</v>
      </c>
      <c r="F29" s="5">
        <f>+'Lead Budget'!F14+'Co-PI Budget (1)'!F14+'Co-PI Budget (2)'!F14+'Co-PI Budget (3)'!F14+'Co-PI Budget (4)'!F14+'Co-PI Budget (5)'!F14</f>
        <v>0</v>
      </c>
      <c r="G29" s="5">
        <f>+'Lead Budget'!G14+'Co-PI Budget (1)'!G14+'Co-PI Budget (2)'!G14+'Co-PI Budget (3)'!G14+'Co-PI Budget (4)'!G14+'Co-PI Budget (5)'!G14</f>
        <v>0</v>
      </c>
      <c r="H29" s="5">
        <f>+'Lead Budget'!H14+'Co-PI Budget (1)'!H14+'Co-PI Budget (2)'!H14+'Co-PI Budget (3)'!H14+'Co-PI Budget (4)'!H14+'Co-PI Budget (5)'!H14</f>
        <v>0</v>
      </c>
      <c r="I29" s="5">
        <f>+'Lead Budget'!I14+'Co-PI Budget (1)'!I14+'Co-PI Budget (2)'!I14+'Co-PI Budget (3)'!I14+'Co-PI Budget (4)'!I14+'Co-PI Budget (5)'!I14</f>
        <v>0</v>
      </c>
      <c r="J29" s="5">
        <f>+'Lead Budget'!J14+'Co-PI Budget (1)'!J14+'Co-PI Budget (2)'!J14+'Co-PI Budget (3)'!J14+'Co-PI Budget (4)'!J14+'Co-PI Budget (5)'!J14</f>
        <v>0</v>
      </c>
      <c r="K29" s="5">
        <f>+'Lead Budget'!K14+'Co-PI Budget (1)'!K14+'Co-PI Budget (2)'!K14+'Co-PI Budget (3)'!K14+'Co-PI Budget (4)'!K14+'Co-PI Budget (5)'!K14</f>
        <v>0</v>
      </c>
      <c r="L29" s="358">
        <f t="shared" ref="L29:L32" si="10">SUM(B29:K29)</f>
        <v>0</v>
      </c>
      <c r="M29" s="382"/>
    </row>
    <row r="30" spans="1:13" x14ac:dyDescent="0.2">
      <c r="A30" s="3" t="str">
        <f>+'Lead Budget'!A15</f>
        <v>Graduate Student(s)</v>
      </c>
      <c r="B30" s="5">
        <f>'Lead Budget'!B15+'Co-PI Budget (1)'!B15+'Co-PI Budget (2)'!B15+'Co-PI Budget (3)'!B15+'Co-PI Budget (4)'!B15+'Co-PI Budget (5)'!B15</f>
        <v>0</v>
      </c>
      <c r="C30" s="5">
        <f>+'Lead Budget'!C15+'Co-PI Budget (1)'!C15+'Co-PI Budget (2)'!C15+'Co-PI Budget (3)'!C15+'Co-PI Budget (4)'!C15+'Co-PI Budget (5)'!C15</f>
        <v>0</v>
      </c>
      <c r="D30" s="5">
        <f>+'Lead Budget'!D15+'Co-PI Budget (1)'!D15+'Co-PI Budget (2)'!D15+'Co-PI Budget (3)'!D15+'Co-PI Budget (4)'!D15+'Co-PI Budget (5)'!D15</f>
        <v>0</v>
      </c>
      <c r="E30" s="5">
        <f>+'Lead Budget'!E15+'Co-PI Budget (1)'!E15+'Co-PI Budget (2)'!E15+'Co-PI Budget (3)'!E15+'Co-PI Budget (4)'!E15+'Co-PI Budget (5)'!E15</f>
        <v>0</v>
      </c>
      <c r="F30" s="5">
        <f>+'Lead Budget'!F15+'Co-PI Budget (1)'!F15+'Co-PI Budget (2)'!F15+'Co-PI Budget (3)'!F15+'Co-PI Budget (4)'!F15+'Co-PI Budget (5)'!F15</f>
        <v>0</v>
      </c>
      <c r="G30" s="5">
        <f>+'Lead Budget'!G15+'Co-PI Budget (1)'!G15+'Co-PI Budget (2)'!G15+'Co-PI Budget (3)'!G15+'Co-PI Budget (4)'!G15+'Co-PI Budget (5)'!G15</f>
        <v>0</v>
      </c>
      <c r="H30" s="5">
        <f>+'Lead Budget'!H15+'Co-PI Budget (1)'!H15+'Co-PI Budget (2)'!H15+'Co-PI Budget (3)'!H15+'Co-PI Budget (4)'!H15+'Co-PI Budget (5)'!H15</f>
        <v>0</v>
      </c>
      <c r="I30" s="5">
        <f>+'Lead Budget'!I15+'Co-PI Budget (1)'!I15+'Co-PI Budget (2)'!I15+'Co-PI Budget (3)'!I15+'Co-PI Budget (4)'!I15+'Co-PI Budget (5)'!I15</f>
        <v>0</v>
      </c>
      <c r="J30" s="5">
        <f>+'Lead Budget'!J15+'Co-PI Budget (1)'!J15+'Co-PI Budget (2)'!J15+'Co-PI Budget (3)'!J15+'Co-PI Budget (4)'!J15+'Co-PI Budget (5)'!J15</f>
        <v>0</v>
      </c>
      <c r="K30" s="5">
        <f>+'Lead Budget'!K15+'Co-PI Budget (1)'!K15+'Co-PI Budget (2)'!K15+'Co-PI Budget (3)'!K15+'Co-PI Budget (4)'!K15+'Co-PI Budget (5)'!K15</f>
        <v>0</v>
      </c>
      <c r="L30" s="358">
        <f t="shared" si="10"/>
        <v>0</v>
      </c>
      <c r="M30" s="382"/>
    </row>
    <row r="31" spans="1:13" x14ac:dyDescent="0.2">
      <c r="A31" s="3" t="str">
        <f>+'Lead Budget'!A16</f>
        <v>Undergraduate Student(s)</v>
      </c>
      <c r="B31" s="5">
        <f>+'Lead Budget'!B16+'Co-PI Budget (1)'!B16+'Co-PI Budget (2)'!B16+'Co-PI Budget (3)'!B16+'Co-PI Budget (4)'!B16+'Co-PI Budget (5)'!B16</f>
        <v>0</v>
      </c>
      <c r="C31" s="5">
        <f>+'Lead Budget'!C16+'Co-PI Budget (1)'!C16+'Co-PI Budget (2)'!C16+'Co-PI Budget (3)'!C16+'Co-PI Budget (4)'!C16+'Co-PI Budget (5)'!C16</f>
        <v>0</v>
      </c>
      <c r="D31" s="5">
        <f>+'Lead Budget'!D16+'Co-PI Budget (1)'!D16+'Co-PI Budget (2)'!D16+'Co-PI Budget (3)'!D16+'Co-PI Budget (4)'!D16+'Co-PI Budget (5)'!D16</f>
        <v>0</v>
      </c>
      <c r="E31" s="5">
        <f>+'Lead Budget'!E16+'Co-PI Budget (1)'!E16+'Co-PI Budget (2)'!E16+'Co-PI Budget (3)'!E16+'Co-PI Budget (4)'!E16+'Co-PI Budget (5)'!E16</f>
        <v>0</v>
      </c>
      <c r="F31" s="5">
        <f>+'Lead Budget'!F16+'Co-PI Budget (1)'!F16+'Co-PI Budget (2)'!F16+'Co-PI Budget (3)'!F16+'Co-PI Budget (4)'!F16+'Co-PI Budget (5)'!F16</f>
        <v>0</v>
      </c>
      <c r="G31" s="5">
        <f>+'Lead Budget'!G16+'Co-PI Budget (1)'!G16+'Co-PI Budget (2)'!G16+'Co-PI Budget (3)'!G16+'Co-PI Budget (4)'!G16+'Co-PI Budget (5)'!G16</f>
        <v>0</v>
      </c>
      <c r="H31" s="5">
        <f>+'Lead Budget'!H16+'Co-PI Budget (1)'!H16+'Co-PI Budget (2)'!H16+'Co-PI Budget (3)'!H16+'Co-PI Budget (4)'!H16+'Co-PI Budget (5)'!H16</f>
        <v>0</v>
      </c>
      <c r="I31" s="5">
        <f>+'Lead Budget'!I16+'Co-PI Budget (1)'!I16+'Co-PI Budget (2)'!I16+'Co-PI Budget (3)'!I16+'Co-PI Budget (4)'!I16+'Co-PI Budget (5)'!I16</f>
        <v>0</v>
      </c>
      <c r="J31" s="5">
        <f>+'Lead Budget'!J16+'Co-PI Budget (1)'!J16+'Co-PI Budget (2)'!J16+'Co-PI Budget (3)'!J16+'Co-PI Budget (4)'!J16+'Co-PI Budget (5)'!J16</f>
        <v>0</v>
      </c>
      <c r="K31" s="5">
        <f>+'Lead Budget'!K16+'Co-PI Budget (1)'!K16+'Co-PI Budget (2)'!K16+'Co-PI Budget (3)'!K16+'Co-PI Budget (4)'!K16+'Co-PI Budget (5)'!K16</f>
        <v>0</v>
      </c>
      <c r="L31" s="358">
        <f t="shared" si="10"/>
        <v>0</v>
      </c>
      <c r="M31" s="382"/>
    </row>
    <row r="32" spans="1:13" x14ac:dyDescent="0.2">
      <c r="A32" s="3" t="str">
        <f>+'Lead Budget'!A17</f>
        <v>Other</v>
      </c>
      <c r="B32" s="5">
        <f>+'Lead Budget'!B17+'Co-PI Budget (1)'!B17+'Co-PI Budget (2)'!B17+'Co-PI Budget (3)'!B17+'Co-PI Budget (4)'!B17+'Co-PI Budget (5)'!B17</f>
        <v>0</v>
      </c>
      <c r="C32" s="5">
        <f>+'Lead Budget'!C17+'Co-PI Budget (1)'!C17+'Co-PI Budget (2)'!C17+'Co-PI Budget (3)'!C17+'Co-PI Budget (4)'!C17+'Co-PI Budget (5)'!C17</f>
        <v>0</v>
      </c>
      <c r="D32" s="5">
        <f>+'Lead Budget'!D17+'Co-PI Budget (1)'!D17+'Co-PI Budget (2)'!D17+'Co-PI Budget (3)'!D17+'Co-PI Budget (4)'!D17+'Co-PI Budget (5)'!D17</f>
        <v>0</v>
      </c>
      <c r="E32" s="5">
        <f>+'Lead Budget'!E17+'Co-PI Budget (1)'!E17+'Co-PI Budget (2)'!E17+'Co-PI Budget (3)'!E17+'Co-PI Budget (4)'!E17+'Co-PI Budget (5)'!E17</f>
        <v>0</v>
      </c>
      <c r="F32" s="5">
        <f>+'Lead Budget'!F17+'Co-PI Budget (1)'!F17+'Co-PI Budget (2)'!F17+'Co-PI Budget (3)'!F17+'Co-PI Budget (4)'!F17+'Co-PI Budget (5)'!F17</f>
        <v>0</v>
      </c>
      <c r="G32" s="5">
        <f>+'Lead Budget'!G17+'Co-PI Budget (1)'!G17+'Co-PI Budget (2)'!G17+'Co-PI Budget (3)'!G17+'Co-PI Budget (4)'!G17+'Co-PI Budget (5)'!G17</f>
        <v>0</v>
      </c>
      <c r="H32" s="5">
        <f>+'Lead Budget'!H17+'Co-PI Budget (1)'!H17+'Co-PI Budget (2)'!H17+'Co-PI Budget (3)'!H17+'Co-PI Budget (4)'!H17+'Co-PI Budget (5)'!H17</f>
        <v>0</v>
      </c>
      <c r="I32" s="5">
        <f>+'Lead Budget'!I17+'Co-PI Budget (1)'!I17+'Co-PI Budget (2)'!I17+'Co-PI Budget (3)'!I17+'Co-PI Budget (4)'!I17+'Co-PI Budget (5)'!I17</f>
        <v>0</v>
      </c>
      <c r="J32" s="5">
        <f>+'Lead Budget'!J17+'Co-PI Budget (1)'!J17+'Co-PI Budget (2)'!J17+'Co-PI Budget (3)'!J17+'Co-PI Budget (4)'!J17+'Co-PI Budget (5)'!J17</f>
        <v>0</v>
      </c>
      <c r="K32" s="5">
        <f>+'Lead Budget'!K17+'Co-PI Budget (1)'!K17+'Co-PI Budget (2)'!K17+'Co-PI Budget (3)'!K17+'Co-PI Budget (4)'!K17+'Co-PI Budget (5)'!K17</f>
        <v>0</v>
      </c>
      <c r="L32" s="358">
        <f t="shared" si="10"/>
        <v>0</v>
      </c>
      <c r="M32" s="382"/>
    </row>
    <row r="33" spans="1:19" ht="12" thickBot="1" x14ac:dyDescent="0.25">
      <c r="A33" s="76" t="str">
        <f>CONCATENATE("Total ",A27)</f>
        <v>Total Other Personnel</v>
      </c>
      <c r="B33" s="359">
        <f t="shared" ref="B33:L33" si="11">SUM(B27:B32)</f>
        <v>0</v>
      </c>
      <c r="C33" s="359">
        <f t="shared" si="11"/>
        <v>0</v>
      </c>
      <c r="D33" s="359">
        <f t="shared" si="11"/>
        <v>0</v>
      </c>
      <c r="E33" s="359">
        <f t="shared" si="11"/>
        <v>0</v>
      </c>
      <c r="F33" s="359">
        <f t="shared" si="11"/>
        <v>0</v>
      </c>
      <c r="G33" s="359">
        <f t="shared" ref="G33:K33" si="12">SUM(G27:G32)</f>
        <v>0</v>
      </c>
      <c r="H33" s="359">
        <f t="shared" si="12"/>
        <v>0</v>
      </c>
      <c r="I33" s="359">
        <f t="shared" si="12"/>
        <v>0</v>
      </c>
      <c r="J33" s="359">
        <f t="shared" si="12"/>
        <v>0</v>
      </c>
      <c r="K33" s="359">
        <f t="shared" si="12"/>
        <v>0</v>
      </c>
      <c r="L33" s="360">
        <f t="shared" si="11"/>
        <v>0</v>
      </c>
      <c r="M33" s="382"/>
    </row>
    <row r="34" spans="1:19" ht="12" thickBot="1" x14ac:dyDescent="0.25">
      <c r="A34" s="361" t="s">
        <v>118</v>
      </c>
      <c r="B34" s="362">
        <f t="shared" ref="B34:F34" si="13">+B26+B33</f>
        <v>0</v>
      </c>
      <c r="C34" s="362">
        <f t="shared" si="13"/>
        <v>0</v>
      </c>
      <c r="D34" s="362">
        <f t="shared" si="13"/>
        <v>0</v>
      </c>
      <c r="E34" s="362">
        <f t="shared" si="13"/>
        <v>0</v>
      </c>
      <c r="F34" s="362">
        <f t="shared" si="13"/>
        <v>0</v>
      </c>
      <c r="G34" s="362">
        <f t="shared" ref="G34" si="14">+G26+G33</f>
        <v>0</v>
      </c>
      <c r="H34" s="362">
        <f t="shared" ref="H34" si="15">+H26+H33</f>
        <v>0</v>
      </c>
      <c r="I34" s="362">
        <f t="shared" ref="I34" si="16">+I26+I33</f>
        <v>0</v>
      </c>
      <c r="J34" s="362">
        <f t="shared" ref="J34" si="17">+J26+J33</f>
        <v>0</v>
      </c>
      <c r="K34" s="362">
        <f t="shared" ref="K34" si="18">+K26+K33</f>
        <v>0</v>
      </c>
      <c r="L34" s="363">
        <f>SUM(B34:K34)</f>
        <v>0</v>
      </c>
      <c r="M34" s="382"/>
    </row>
    <row r="35" spans="1:19" x14ac:dyDescent="0.2">
      <c r="A35" s="74" t="s">
        <v>7</v>
      </c>
      <c r="B35" s="357" t="s">
        <v>6</v>
      </c>
      <c r="C35" s="357" t="s">
        <v>6</v>
      </c>
      <c r="D35" s="357" t="s">
        <v>6</v>
      </c>
      <c r="E35" s="357" t="s">
        <v>6</v>
      </c>
      <c r="F35" s="357" t="s">
        <v>6</v>
      </c>
      <c r="G35" s="357" t="s">
        <v>6</v>
      </c>
      <c r="H35" s="357" t="s">
        <v>6</v>
      </c>
      <c r="I35" s="357" t="s">
        <v>6</v>
      </c>
      <c r="J35" s="357" t="s">
        <v>6</v>
      </c>
      <c r="K35" s="357" t="s">
        <v>6</v>
      </c>
      <c r="L35" s="358"/>
      <c r="M35" s="382"/>
    </row>
    <row r="36" spans="1:19" x14ac:dyDescent="0.2">
      <c r="A36" s="3" t="str">
        <f t="shared" ref="A36:A53" si="19">+A8</f>
        <v>PI</v>
      </c>
      <c r="B36" s="357">
        <f>+'Lead Budget'!B20</f>
        <v>0</v>
      </c>
      <c r="C36" s="357">
        <f>+'Lead Budget'!C20</f>
        <v>0</v>
      </c>
      <c r="D36" s="357">
        <f>+'Lead Budget'!D20</f>
        <v>0</v>
      </c>
      <c r="E36" s="357">
        <f>+'Lead Budget'!E20</f>
        <v>0</v>
      </c>
      <c r="F36" s="357">
        <f>+'Lead Budget'!F20</f>
        <v>0</v>
      </c>
      <c r="G36" s="357">
        <f>+'Lead Budget'!G20</f>
        <v>0</v>
      </c>
      <c r="H36" s="357">
        <f>+'Lead Budget'!H20</f>
        <v>0</v>
      </c>
      <c r="I36" s="357">
        <f>+'Lead Budget'!I20</f>
        <v>0</v>
      </c>
      <c r="J36" s="357">
        <f>+'Lead Budget'!J20</f>
        <v>0</v>
      </c>
      <c r="K36" s="357">
        <f>+'Lead Budget'!K20</f>
        <v>0</v>
      </c>
      <c r="L36" s="358">
        <f>SUM(B36:K36)</f>
        <v>0</v>
      </c>
      <c r="M36" s="382"/>
      <c r="N36" s="339"/>
      <c r="O36" s="339"/>
      <c r="P36" s="339"/>
    </row>
    <row r="37" spans="1:19" x14ac:dyDescent="0.2">
      <c r="A37" s="3" t="str">
        <f t="shared" si="19"/>
        <v>Co-PI</v>
      </c>
      <c r="B37" s="357">
        <f>+'Lead Budget'!B21</f>
        <v>0</v>
      </c>
      <c r="C37" s="357">
        <f>+'Lead Budget'!C21</f>
        <v>0</v>
      </c>
      <c r="D37" s="357">
        <f>+'Lead Budget'!D21</f>
        <v>0</v>
      </c>
      <c r="E37" s="357">
        <f>+'Lead Budget'!E21</f>
        <v>0</v>
      </c>
      <c r="F37" s="357">
        <f>+'Lead Budget'!F21</f>
        <v>0</v>
      </c>
      <c r="G37" s="357">
        <f>+'Lead Budget'!G21</f>
        <v>0</v>
      </c>
      <c r="H37" s="357">
        <f>+'Lead Budget'!H21</f>
        <v>0</v>
      </c>
      <c r="I37" s="357">
        <f>+'Lead Budget'!I21</f>
        <v>0</v>
      </c>
      <c r="J37" s="357">
        <f>+'Lead Budget'!J21</f>
        <v>0</v>
      </c>
      <c r="K37" s="357">
        <f>+'Lead Budget'!K21</f>
        <v>0</v>
      </c>
      <c r="L37" s="358">
        <f t="shared" ref="L37:L56" si="20">SUM(B37:K37)</f>
        <v>0</v>
      </c>
      <c r="M37" s="382"/>
      <c r="N37" s="339"/>
      <c r="O37" s="339"/>
      <c r="P37" s="339"/>
    </row>
    <row r="38" spans="1:19" x14ac:dyDescent="0.2">
      <c r="A38" s="3" t="str">
        <f t="shared" si="19"/>
        <v>Co-PI</v>
      </c>
      <c r="B38" s="357">
        <f>+'Lead Budget'!B22</f>
        <v>0</v>
      </c>
      <c r="C38" s="357">
        <f>+'Lead Budget'!C22</f>
        <v>0</v>
      </c>
      <c r="D38" s="357">
        <f>+'Lead Budget'!D22</f>
        <v>0</v>
      </c>
      <c r="E38" s="357">
        <f>+'Lead Budget'!E22</f>
        <v>0</v>
      </c>
      <c r="F38" s="357">
        <f>+'Lead Budget'!F22</f>
        <v>0</v>
      </c>
      <c r="G38" s="357">
        <f>+'Lead Budget'!G22</f>
        <v>0</v>
      </c>
      <c r="H38" s="357">
        <f>+'Lead Budget'!H22</f>
        <v>0</v>
      </c>
      <c r="I38" s="357">
        <f>+'Lead Budget'!I22</f>
        <v>0</v>
      </c>
      <c r="J38" s="357">
        <f>+'Lead Budget'!J22</f>
        <v>0</v>
      </c>
      <c r="K38" s="357">
        <f>+'Lead Budget'!K22</f>
        <v>0</v>
      </c>
      <c r="L38" s="358">
        <f t="shared" si="20"/>
        <v>0</v>
      </c>
      <c r="M38" s="382"/>
      <c r="N38" s="339"/>
      <c r="O38" s="339"/>
      <c r="P38" s="339"/>
    </row>
    <row r="39" spans="1:19" x14ac:dyDescent="0.2">
      <c r="A39" s="3" t="str">
        <f t="shared" si="19"/>
        <v>Co-PI</v>
      </c>
      <c r="B39" s="357">
        <f>+'Co-PI Budget (1)'!B20</f>
        <v>0</v>
      </c>
      <c r="C39" s="357">
        <f>+'Co-PI Budget (1)'!C20</f>
        <v>0</v>
      </c>
      <c r="D39" s="357">
        <f>+'Co-PI Budget (1)'!D20</f>
        <v>0</v>
      </c>
      <c r="E39" s="357">
        <f>+'Co-PI Budget (1)'!E20</f>
        <v>0</v>
      </c>
      <c r="F39" s="357">
        <f>+'Co-PI Budget (1)'!F20</f>
        <v>0</v>
      </c>
      <c r="G39" s="357">
        <f>+'Co-PI Budget (1)'!G20</f>
        <v>0</v>
      </c>
      <c r="H39" s="357">
        <f>+'Co-PI Budget (1)'!H20</f>
        <v>0</v>
      </c>
      <c r="I39" s="357">
        <f>+'Co-PI Budget (1)'!I20</f>
        <v>0</v>
      </c>
      <c r="J39" s="357">
        <f>+'Co-PI Budget (1)'!J20</f>
        <v>0</v>
      </c>
      <c r="K39" s="357">
        <f>+'Co-PI Budget (1)'!K20</f>
        <v>0</v>
      </c>
      <c r="L39" s="358">
        <f t="shared" si="20"/>
        <v>0</v>
      </c>
      <c r="M39" s="382"/>
      <c r="N39" s="344"/>
      <c r="O39" s="345"/>
      <c r="P39" s="345"/>
      <c r="Q39" s="345"/>
      <c r="R39" s="345"/>
      <c r="S39" s="345"/>
    </row>
    <row r="40" spans="1:19" x14ac:dyDescent="0.2">
      <c r="A40" s="3" t="str">
        <f t="shared" si="19"/>
        <v>Co-PI</v>
      </c>
      <c r="B40" s="357">
        <f>+'Co-PI Budget (1)'!B21</f>
        <v>0</v>
      </c>
      <c r="C40" s="357">
        <f>+'Co-PI Budget (1)'!C21</f>
        <v>0</v>
      </c>
      <c r="D40" s="357">
        <f>+'Co-PI Budget (1)'!D21</f>
        <v>0</v>
      </c>
      <c r="E40" s="357">
        <f>+'Co-PI Budget (1)'!E21</f>
        <v>0</v>
      </c>
      <c r="F40" s="357">
        <f>+'Co-PI Budget (1)'!F21</f>
        <v>0</v>
      </c>
      <c r="G40" s="357">
        <f>+'Co-PI Budget (1)'!G21</f>
        <v>0</v>
      </c>
      <c r="H40" s="357">
        <f>+'Co-PI Budget (1)'!H21</f>
        <v>0</v>
      </c>
      <c r="I40" s="357">
        <f>+'Co-PI Budget (1)'!I21</f>
        <v>0</v>
      </c>
      <c r="J40" s="357">
        <f>+'Co-PI Budget (1)'!J21</f>
        <v>0</v>
      </c>
      <c r="K40" s="357">
        <f>+'Co-PI Budget (1)'!K21</f>
        <v>0</v>
      </c>
      <c r="L40" s="358">
        <f t="shared" si="20"/>
        <v>0</v>
      </c>
      <c r="M40" s="382"/>
      <c r="N40" s="344"/>
      <c r="O40" s="345"/>
      <c r="P40" s="345"/>
      <c r="Q40" s="345"/>
      <c r="R40" s="345"/>
      <c r="S40" s="345"/>
    </row>
    <row r="41" spans="1:19" x14ac:dyDescent="0.2">
      <c r="A41" s="3" t="str">
        <f t="shared" si="19"/>
        <v>Co-PI</v>
      </c>
      <c r="B41" s="357">
        <f>+'Co-PI Budget (1)'!B22</f>
        <v>0</v>
      </c>
      <c r="C41" s="357">
        <f>+'Co-PI Budget (1)'!C22</f>
        <v>0</v>
      </c>
      <c r="D41" s="357">
        <f>+'Co-PI Budget (1)'!D22</f>
        <v>0</v>
      </c>
      <c r="E41" s="357">
        <f>+'Co-PI Budget (1)'!E22</f>
        <v>0</v>
      </c>
      <c r="F41" s="357">
        <f>+'Co-PI Budget (1)'!F22</f>
        <v>0</v>
      </c>
      <c r="G41" s="357">
        <f>+'Co-PI Budget (1)'!G22</f>
        <v>0</v>
      </c>
      <c r="H41" s="357">
        <f>+'Co-PI Budget (1)'!H22</f>
        <v>0</v>
      </c>
      <c r="I41" s="357">
        <f>+'Co-PI Budget (1)'!I22</f>
        <v>0</v>
      </c>
      <c r="J41" s="357">
        <f>+'Co-PI Budget (1)'!J22</f>
        <v>0</v>
      </c>
      <c r="K41" s="357">
        <f>+'Co-PI Budget (1)'!K22</f>
        <v>0</v>
      </c>
      <c r="L41" s="358">
        <f t="shared" si="20"/>
        <v>0</v>
      </c>
      <c r="M41" s="382"/>
      <c r="N41" s="344"/>
      <c r="O41" s="345"/>
      <c r="P41" s="345"/>
      <c r="Q41" s="345"/>
      <c r="R41" s="345"/>
      <c r="S41" s="345"/>
    </row>
    <row r="42" spans="1:19" x14ac:dyDescent="0.2">
      <c r="A42" s="3" t="str">
        <f t="shared" si="19"/>
        <v>Co-PI</v>
      </c>
      <c r="B42" s="357">
        <f>+'Co-PI Budget (2)'!B21</f>
        <v>0</v>
      </c>
      <c r="C42" s="357">
        <f>+'Co-PI Budget (2)'!C21</f>
        <v>0</v>
      </c>
      <c r="D42" s="357">
        <f>+'Co-PI Budget (2)'!D21</f>
        <v>0</v>
      </c>
      <c r="E42" s="357">
        <f>+'Co-PI Budget (2)'!E21</f>
        <v>0</v>
      </c>
      <c r="F42" s="357">
        <f>+'Co-PI Budget (2)'!F21</f>
        <v>0</v>
      </c>
      <c r="G42" s="357">
        <f>+'Co-PI Budget (2)'!G21</f>
        <v>0</v>
      </c>
      <c r="H42" s="357">
        <f>+'Co-PI Budget (2)'!H21</f>
        <v>0</v>
      </c>
      <c r="I42" s="357">
        <f>+'Co-PI Budget (2)'!I21</f>
        <v>0</v>
      </c>
      <c r="J42" s="357">
        <f>+'Co-PI Budget (2)'!J21</f>
        <v>0</v>
      </c>
      <c r="K42" s="357">
        <f>+'Co-PI Budget (2)'!K21</f>
        <v>0</v>
      </c>
      <c r="L42" s="358">
        <f t="shared" si="20"/>
        <v>0</v>
      </c>
      <c r="M42" s="382"/>
      <c r="N42" s="344"/>
      <c r="O42" s="345"/>
      <c r="P42" s="345"/>
      <c r="Q42" s="345"/>
      <c r="R42" s="345"/>
      <c r="S42" s="345"/>
    </row>
    <row r="43" spans="1:19" x14ac:dyDescent="0.2">
      <c r="A43" s="3" t="str">
        <f t="shared" si="19"/>
        <v>Co-PI</v>
      </c>
      <c r="B43" s="357">
        <f>+'Co-PI Budget (2)'!B22</f>
        <v>0</v>
      </c>
      <c r="C43" s="357">
        <f>+'Co-PI Budget (2)'!C22</f>
        <v>0</v>
      </c>
      <c r="D43" s="357">
        <f>+'Co-PI Budget (2)'!D22</f>
        <v>0</v>
      </c>
      <c r="E43" s="357">
        <f>+'Co-PI Budget (2)'!E22</f>
        <v>0</v>
      </c>
      <c r="F43" s="357">
        <f>+'Co-PI Budget (2)'!F22</f>
        <v>0</v>
      </c>
      <c r="G43" s="357">
        <f>+'Co-PI Budget (2)'!G22</f>
        <v>0</v>
      </c>
      <c r="H43" s="357">
        <f>+'Co-PI Budget (2)'!H22</f>
        <v>0</v>
      </c>
      <c r="I43" s="357">
        <f>+'Co-PI Budget (2)'!I22</f>
        <v>0</v>
      </c>
      <c r="J43" s="357">
        <f>+'Co-PI Budget (2)'!J22</f>
        <v>0</v>
      </c>
      <c r="K43" s="357">
        <f>+'Co-PI Budget (2)'!K22</f>
        <v>0</v>
      </c>
      <c r="L43" s="358">
        <f t="shared" si="20"/>
        <v>0</v>
      </c>
      <c r="M43" s="382"/>
      <c r="N43" s="344"/>
      <c r="O43" s="345"/>
      <c r="P43" s="345"/>
      <c r="Q43" s="345"/>
      <c r="R43" s="345"/>
      <c r="S43" s="345"/>
    </row>
    <row r="44" spans="1:19" x14ac:dyDescent="0.2">
      <c r="A44" s="3" t="str">
        <f t="shared" si="19"/>
        <v>Co-PI</v>
      </c>
      <c r="B44" s="357">
        <f>+'Co-PI Budget (2)'!B23</f>
        <v>0</v>
      </c>
      <c r="C44" s="357">
        <f>+'Co-PI Budget (2)'!C23</f>
        <v>0</v>
      </c>
      <c r="D44" s="357">
        <f>+'Co-PI Budget (2)'!D23</f>
        <v>0</v>
      </c>
      <c r="E44" s="357">
        <f>+'Co-PI Budget (2)'!E23</f>
        <v>0</v>
      </c>
      <c r="F44" s="357">
        <f>+'Co-PI Budget (2)'!F23</f>
        <v>0</v>
      </c>
      <c r="G44" s="357">
        <f>+'Co-PI Budget (2)'!G23</f>
        <v>0</v>
      </c>
      <c r="H44" s="357">
        <f>+'Co-PI Budget (2)'!H23</f>
        <v>0</v>
      </c>
      <c r="I44" s="357">
        <f>+'Co-PI Budget (2)'!I23</f>
        <v>0</v>
      </c>
      <c r="J44" s="357">
        <f>+'Co-PI Budget (2)'!J23</f>
        <v>0</v>
      </c>
      <c r="K44" s="357">
        <f>+'Co-PI Budget (2)'!K23</f>
        <v>0</v>
      </c>
      <c r="L44" s="358">
        <f t="shared" si="20"/>
        <v>0</v>
      </c>
      <c r="M44" s="382"/>
      <c r="N44" s="344"/>
      <c r="O44" s="345"/>
      <c r="P44" s="345"/>
      <c r="Q44" s="345"/>
      <c r="R44" s="345"/>
      <c r="S44" s="345"/>
    </row>
    <row r="45" spans="1:19" x14ac:dyDescent="0.2">
      <c r="A45" s="3" t="str">
        <f t="shared" si="19"/>
        <v>Co-PI</v>
      </c>
      <c r="B45" s="357">
        <f>+'Co-PI Budget (3)'!B21</f>
        <v>0</v>
      </c>
      <c r="C45" s="357">
        <f>+'Co-PI Budget (3)'!C21</f>
        <v>0</v>
      </c>
      <c r="D45" s="357">
        <f>+'Co-PI Budget (3)'!D21</f>
        <v>0</v>
      </c>
      <c r="E45" s="357">
        <f>+'Co-PI Budget (3)'!E21</f>
        <v>0</v>
      </c>
      <c r="F45" s="357">
        <f>+'Co-PI Budget (3)'!F21</f>
        <v>0</v>
      </c>
      <c r="G45" s="357">
        <f>+'Co-PI Budget (3)'!G21</f>
        <v>0</v>
      </c>
      <c r="H45" s="357">
        <f>+'Co-PI Budget (3)'!H21</f>
        <v>0</v>
      </c>
      <c r="I45" s="357">
        <f>+'Co-PI Budget (3)'!I21</f>
        <v>0</v>
      </c>
      <c r="J45" s="357">
        <f>+'Co-PI Budget (3)'!J21</f>
        <v>0</v>
      </c>
      <c r="K45" s="357">
        <f>+'Co-PI Budget (3)'!K21</f>
        <v>0</v>
      </c>
      <c r="L45" s="358">
        <f t="shared" si="20"/>
        <v>0</v>
      </c>
      <c r="M45" s="382"/>
      <c r="N45" s="344"/>
      <c r="O45" s="345"/>
      <c r="P45" s="345"/>
      <c r="Q45" s="345"/>
      <c r="R45" s="345"/>
      <c r="S45" s="345"/>
    </row>
    <row r="46" spans="1:19" x14ac:dyDescent="0.2">
      <c r="A46" s="3" t="str">
        <f t="shared" si="19"/>
        <v>Co-PI</v>
      </c>
      <c r="B46" s="357">
        <f>+'Co-PI Budget (3)'!B22</f>
        <v>0</v>
      </c>
      <c r="C46" s="357">
        <f>+'Co-PI Budget (3)'!C22</f>
        <v>0</v>
      </c>
      <c r="D46" s="357">
        <f>+'Co-PI Budget (3)'!D22</f>
        <v>0</v>
      </c>
      <c r="E46" s="357">
        <f>+'Co-PI Budget (3)'!E22</f>
        <v>0</v>
      </c>
      <c r="F46" s="357">
        <f>+'Co-PI Budget (3)'!F22</f>
        <v>0</v>
      </c>
      <c r="G46" s="357">
        <f>+'Co-PI Budget (3)'!G22</f>
        <v>0</v>
      </c>
      <c r="H46" s="357">
        <f>+'Co-PI Budget (3)'!H22</f>
        <v>0</v>
      </c>
      <c r="I46" s="357">
        <f>+'Co-PI Budget (3)'!I22</f>
        <v>0</v>
      </c>
      <c r="J46" s="357">
        <f>+'Co-PI Budget (3)'!J22</f>
        <v>0</v>
      </c>
      <c r="K46" s="357">
        <f>+'Co-PI Budget (3)'!K22</f>
        <v>0</v>
      </c>
      <c r="L46" s="358">
        <f t="shared" si="20"/>
        <v>0</v>
      </c>
      <c r="M46" s="382"/>
      <c r="N46" s="344"/>
      <c r="O46" s="345"/>
      <c r="P46" s="345"/>
      <c r="Q46" s="345"/>
      <c r="R46" s="345"/>
      <c r="S46" s="345"/>
    </row>
    <row r="47" spans="1:19" x14ac:dyDescent="0.2">
      <c r="A47" s="3" t="str">
        <f t="shared" si="19"/>
        <v>Co-PI</v>
      </c>
      <c r="B47" s="357">
        <f>+'Co-PI Budget (3)'!B23</f>
        <v>0</v>
      </c>
      <c r="C47" s="357">
        <f>+'Co-PI Budget (3)'!C23</f>
        <v>0</v>
      </c>
      <c r="D47" s="357">
        <f>+'Co-PI Budget (3)'!D23</f>
        <v>0</v>
      </c>
      <c r="E47" s="357">
        <f>+'Co-PI Budget (3)'!E23</f>
        <v>0</v>
      </c>
      <c r="F47" s="357">
        <f>+'Co-PI Budget (3)'!F23</f>
        <v>0</v>
      </c>
      <c r="G47" s="357">
        <f>+'Co-PI Budget (3)'!G23</f>
        <v>0</v>
      </c>
      <c r="H47" s="357">
        <f>+'Co-PI Budget (3)'!H23</f>
        <v>0</v>
      </c>
      <c r="I47" s="357">
        <f>+'Co-PI Budget (3)'!I23</f>
        <v>0</v>
      </c>
      <c r="J47" s="357">
        <f>+'Co-PI Budget (3)'!J23</f>
        <v>0</v>
      </c>
      <c r="K47" s="357">
        <f>+'Co-PI Budget (3)'!K23</f>
        <v>0</v>
      </c>
      <c r="L47" s="358">
        <f t="shared" si="20"/>
        <v>0</v>
      </c>
      <c r="M47" s="382"/>
      <c r="N47" s="344"/>
      <c r="O47" s="345"/>
      <c r="P47" s="345"/>
      <c r="Q47" s="345"/>
      <c r="R47" s="345"/>
      <c r="S47" s="345"/>
    </row>
    <row r="48" spans="1:19" x14ac:dyDescent="0.2">
      <c r="A48" s="3" t="str">
        <f t="shared" si="19"/>
        <v>Co-PI</v>
      </c>
      <c r="B48" s="357">
        <f>+'Co-PI Budget (4)'!B21</f>
        <v>0</v>
      </c>
      <c r="C48" s="357">
        <f>+'Co-PI Budget (4)'!C21</f>
        <v>0</v>
      </c>
      <c r="D48" s="357">
        <f>+'Co-PI Budget (4)'!D21</f>
        <v>0</v>
      </c>
      <c r="E48" s="357">
        <f>+'Co-PI Budget (4)'!E21</f>
        <v>0</v>
      </c>
      <c r="F48" s="357">
        <f>+'Co-PI Budget (4)'!F21</f>
        <v>0</v>
      </c>
      <c r="G48" s="357">
        <f>+'Co-PI Budget (4)'!G21</f>
        <v>0</v>
      </c>
      <c r="H48" s="357">
        <f>+'Co-PI Budget (4)'!H21</f>
        <v>0</v>
      </c>
      <c r="I48" s="357">
        <f>+'Co-PI Budget (4)'!I21</f>
        <v>0</v>
      </c>
      <c r="J48" s="357">
        <f>+'Co-PI Budget (4)'!J21</f>
        <v>0</v>
      </c>
      <c r="K48" s="357">
        <f>+'Co-PI Budget (4)'!K21</f>
        <v>0</v>
      </c>
      <c r="L48" s="358">
        <f t="shared" si="20"/>
        <v>0</v>
      </c>
      <c r="M48" s="382"/>
      <c r="N48" s="344"/>
      <c r="O48" s="345"/>
      <c r="P48" s="345"/>
      <c r="Q48" s="345"/>
      <c r="R48" s="345"/>
      <c r="S48" s="345"/>
    </row>
    <row r="49" spans="1:20" x14ac:dyDescent="0.2">
      <c r="A49" s="3" t="str">
        <f t="shared" si="19"/>
        <v>Co-PI</v>
      </c>
      <c r="B49" s="357">
        <f>+'Co-PI Budget (4)'!B22</f>
        <v>0</v>
      </c>
      <c r="C49" s="357">
        <f>+'Co-PI Budget (4)'!C22</f>
        <v>0</v>
      </c>
      <c r="D49" s="357">
        <f>+'Co-PI Budget (4)'!D22</f>
        <v>0</v>
      </c>
      <c r="E49" s="357">
        <f>+'Co-PI Budget (4)'!E22</f>
        <v>0</v>
      </c>
      <c r="F49" s="357">
        <f>+'Co-PI Budget (4)'!F22</f>
        <v>0</v>
      </c>
      <c r="G49" s="357">
        <f>+'Co-PI Budget (4)'!G22</f>
        <v>0</v>
      </c>
      <c r="H49" s="357">
        <f>+'Co-PI Budget (4)'!H22</f>
        <v>0</v>
      </c>
      <c r="I49" s="357">
        <f>+'Co-PI Budget (4)'!I22</f>
        <v>0</v>
      </c>
      <c r="J49" s="357">
        <f>+'Co-PI Budget (4)'!J22</f>
        <v>0</v>
      </c>
      <c r="K49" s="357">
        <f>+'Co-PI Budget (4)'!K22</f>
        <v>0</v>
      </c>
      <c r="L49" s="358">
        <f t="shared" si="20"/>
        <v>0</v>
      </c>
      <c r="M49" s="382"/>
      <c r="N49" s="344"/>
      <c r="O49" s="345"/>
      <c r="P49" s="345"/>
      <c r="Q49" s="345"/>
      <c r="R49" s="345"/>
      <c r="S49" s="345"/>
    </row>
    <row r="50" spans="1:20" x14ac:dyDescent="0.2">
      <c r="A50" s="3" t="str">
        <f t="shared" si="19"/>
        <v>Co-PI</v>
      </c>
      <c r="B50" s="357">
        <f>+'Co-PI Budget (4)'!B23</f>
        <v>0</v>
      </c>
      <c r="C50" s="357">
        <f>+'Co-PI Budget (4)'!C23</f>
        <v>0</v>
      </c>
      <c r="D50" s="357">
        <f>+'Co-PI Budget (4)'!D23</f>
        <v>0</v>
      </c>
      <c r="E50" s="357">
        <f>+'Co-PI Budget (4)'!E23</f>
        <v>0</v>
      </c>
      <c r="F50" s="357">
        <f>+'Co-PI Budget (4)'!F23</f>
        <v>0</v>
      </c>
      <c r="G50" s="357">
        <f>+'Co-PI Budget (4)'!G23</f>
        <v>0</v>
      </c>
      <c r="H50" s="357">
        <f>+'Co-PI Budget (4)'!H23</f>
        <v>0</v>
      </c>
      <c r="I50" s="357">
        <f>+'Co-PI Budget (4)'!I23</f>
        <v>0</v>
      </c>
      <c r="J50" s="357">
        <f>+'Co-PI Budget (4)'!J23</f>
        <v>0</v>
      </c>
      <c r="K50" s="357">
        <f>+'Co-PI Budget (4)'!K23</f>
        <v>0</v>
      </c>
      <c r="L50" s="358">
        <f t="shared" si="20"/>
        <v>0</v>
      </c>
      <c r="M50" s="382"/>
      <c r="N50" s="346"/>
    </row>
    <row r="51" spans="1:20" x14ac:dyDescent="0.2">
      <c r="A51" s="3" t="str">
        <f t="shared" si="19"/>
        <v>Co-PI</v>
      </c>
      <c r="B51" s="357">
        <f>+'Co-PI Budget (5)'!B21</f>
        <v>0</v>
      </c>
      <c r="C51" s="357">
        <f>+'Co-PI Budget (5)'!C21</f>
        <v>0</v>
      </c>
      <c r="D51" s="357">
        <f>+'Co-PI Budget (5)'!D21</f>
        <v>0</v>
      </c>
      <c r="E51" s="357">
        <f>+'Co-PI Budget (5)'!E21</f>
        <v>0</v>
      </c>
      <c r="F51" s="357">
        <f>+'Co-PI Budget (5)'!F21</f>
        <v>0</v>
      </c>
      <c r="G51" s="357">
        <f>+'Co-PI Budget (5)'!G21</f>
        <v>0</v>
      </c>
      <c r="H51" s="357">
        <f>+'Co-PI Budget (5)'!H21</f>
        <v>0</v>
      </c>
      <c r="I51" s="357">
        <f>+'Co-PI Budget (5)'!I21</f>
        <v>0</v>
      </c>
      <c r="J51" s="357">
        <f>+'Co-PI Budget (5)'!J21</f>
        <v>0</v>
      </c>
      <c r="K51" s="357">
        <f>+'Co-PI Budget (5)'!K21</f>
        <v>0</v>
      </c>
      <c r="L51" s="358">
        <f t="shared" si="20"/>
        <v>0</v>
      </c>
      <c r="M51" s="382"/>
      <c r="N51" s="344"/>
      <c r="O51" s="345"/>
      <c r="P51" s="345"/>
      <c r="Q51" s="345"/>
      <c r="R51" s="345"/>
      <c r="S51" s="345"/>
    </row>
    <row r="52" spans="1:20" x14ac:dyDescent="0.2">
      <c r="A52" s="3" t="str">
        <f t="shared" si="19"/>
        <v>Co-PI</v>
      </c>
      <c r="B52" s="357">
        <f>+'Co-PI Budget (5)'!B22</f>
        <v>0</v>
      </c>
      <c r="C52" s="357">
        <f>+'Co-PI Budget (5)'!C22</f>
        <v>0</v>
      </c>
      <c r="D52" s="357">
        <f>+'Co-PI Budget (5)'!D22</f>
        <v>0</v>
      </c>
      <c r="E52" s="357">
        <f>+'Co-PI Budget (5)'!E22</f>
        <v>0</v>
      </c>
      <c r="F52" s="357">
        <f>+'Co-PI Budget (5)'!F22</f>
        <v>0</v>
      </c>
      <c r="G52" s="357">
        <f>+'Co-PI Budget (5)'!G22</f>
        <v>0</v>
      </c>
      <c r="H52" s="357">
        <f>+'Co-PI Budget (5)'!H22</f>
        <v>0</v>
      </c>
      <c r="I52" s="357">
        <f>+'Co-PI Budget (5)'!I22</f>
        <v>0</v>
      </c>
      <c r="J52" s="357">
        <f>+'Co-PI Budget (5)'!J22</f>
        <v>0</v>
      </c>
      <c r="K52" s="357">
        <f>+'Co-PI Budget (5)'!K22</f>
        <v>0</v>
      </c>
      <c r="L52" s="358">
        <f t="shared" si="20"/>
        <v>0</v>
      </c>
      <c r="M52" s="382"/>
      <c r="N52" s="344"/>
      <c r="O52" s="345"/>
      <c r="P52" s="345"/>
      <c r="Q52" s="345"/>
      <c r="R52" s="345"/>
      <c r="S52" s="345"/>
    </row>
    <row r="53" spans="1:20" x14ac:dyDescent="0.2">
      <c r="A53" s="3" t="str">
        <f t="shared" si="19"/>
        <v>Co-PI</v>
      </c>
      <c r="B53" s="357">
        <f>+'Co-PI Budget (5)'!B23</f>
        <v>0</v>
      </c>
      <c r="C53" s="357">
        <f>+'Co-PI Budget (5)'!C23</f>
        <v>0</v>
      </c>
      <c r="D53" s="357">
        <f>+'Co-PI Budget (5)'!D23</f>
        <v>0</v>
      </c>
      <c r="E53" s="357">
        <f>+'Co-PI Budget (5)'!E23</f>
        <v>0</v>
      </c>
      <c r="F53" s="357">
        <f>+'Co-PI Budget (5)'!F23</f>
        <v>0</v>
      </c>
      <c r="G53" s="357">
        <f>+'Co-PI Budget (5)'!G23</f>
        <v>0</v>
      </c>
      <c r="H53" s="357">
        <f>+'Co-PI Budget (5)'!H23</f>
        <v>0</v>
      </c>
      <c r="I53" s="357">
        <f>+'Co-PI Budget (5)'!I23</f>
        <v>0</v>
      </c>
      <c r="J53" s="357">
        <f>+'Co-PI Budget (5)'!J23</f>
        <v>0</v>
      </c>
      <c r="K53" s="357">
        <f>+'Co-PI Budget (5)'!K23</f>
        <v>0</v>
      </c>
      <c r="L53" s="358">
        <f t="shared" si="20"/>
        <v>0</v>
      </c>
      <c r="M53" s="382"/>
      <c r="N53" s="344"/>
      <c r="O53" s="345"/>
      <c r="P53" s="345"/>
      <c r="Q53" s="345"/>
      <c r="R53" s="345"/>
      <c r="S53" s="345"/>
    </row>
    <row r="54" spans="1:20" x14ac:dyDescent="0.2">
      <c r="A54" s="3" t="str">
        <f>+A28</f>
        <v>Post Doctoral Scholar(s)</v>
      </c>
      <c r="B54" s="357">
        <f>+'Lead Budget'!B23+'Co-PI Budget (1)'!B23+'Co-PI Budget (2)'!B24+'Co-PI Budget (3)'!B24+'Co-PI Budget (4)'!B24+'Co-PI Budget (5)'!B24</f>
        <v>0</v>
      </c>
      <c r="C54" s="357">
        <f>+'Lead Budget'!C23+'Co-PI Budget (1)'!C23+'Co-PI Budget (2)'!C24+'Co-PI Budget (3)'!C24+'Co-PI Budget (4)'!C24+'Co-PI Budget (5)'!C24</f>
        <v>0</v>
      </c>
      <c r="D54" s="357">
        <f>+'Lead Budget'!D23+'Co-PI Budget (1)'!D23+'Co-PI Budget (2)'!D24+'Co-PI Budget (3)'!D24+'Co-PI Budget (4)'!D24+'Co-PI Budget (5)'!D24</f>
        <v>0</v>
      </c>
      <c r="E54" s="357">
        <f>+'Lead Budget'!E23+'Co-PI Budget (1)'!E23+'Co-PI Budget (2)'!E24+'Co-PI Budget (3)'!E24+'Co-PI Budget (4)'!E24+'Co-PI Budget (5)'!E24</f>
        <v>0</v>
      </c>
      <c r="F54" s="357">
        <f>+'Lead Budget'!F23+'Co-PI Budget (1)'!F23+'Co-PI Budget (2)'!F24+'Co-PI Budget (3)'!F24+'Co-PI Budget (4)'!F24+'Co-PI Budget (5)'!F24</f>
        <v>0</v>
      </c>
      <c r="G54" s="357">
        <f>+'Lead Budget'!G23+'Co-PI Budget (1)'!G23+'Co-PI Budget (2)'!G24+'Co-PI Budget (3)'!G24+'Co-PI Budget (4)'!G24+'Co-PI Budget (5)'!G24</f>
        <v>0</v>
      </c>
      <c r="H54" s="357">
        <f>+'Lead Budget'!H23+'Co-PI Budget (1)'!H23+'Co-PI Budget (2)'!H24+'Co-PI Budget (3)'!H24+'Co-PI Budget (4)'!H24+'Co-PI Budget (5)'!H24</f>
        <v>0</v>
      </c>
      <c r="I54" s="357">
        <f>+'Lead Budget'!I23+'Co-PI Budget (1)'!I23+'Co-PI Budget (2)'!I24+'Co-PI Budget (3)'!I24+'Co-PI Budget (4)'!I24+'Co-PI Budget (5)'!I24</f>
        <v>0</v>
      </c>
      <c r="J54" s="357">
        <f>+'Lead Budget'!J23+'Co-PI Budget (1)'!J23+'Co-PI Budget (2)'!J24+'Co-PI Budget (3)'!J24+'Co-PI Budget (4)'!J24+'Co-PI Budget (5)'!J24</f>
        <v>0</v>
      </c>
      <c r="K54" s="357">
        <f>+'Lead Budget'!K23+'Co-PI Budget (1)'!K23+'Co-PI Budget (2)'!K24+'Co-PI Budget (3)'!K24+'Co-PI Budget (4)'!K24+'Co-PI Budget (5)'!K24</f>
        <v>0</v>
      </c>
      <c r="L54" s="358">
        <f t="shared" si="20"/>
        <v>0</v>
      </c>
      <c r="M54" s="382"/>
      <c r="O54" s="339"/>
      <c r="P54" s="339"/>
    </row>
    <row r="55" spans="1:20" x14ac:dyDescent="0.2">
      <c r="A55" s="3" t="str">
        <f>+A29</f>
        <v>Other Professional(s) (Technicians, etc)</v>
      </c>
      <c r="B55" s="357">
        <f>+'Lead Budget'!B24+'Co-PI Budget (1)'!B24+'Co-PI Budget (2)'!B25+'Co-PI Budget (3)'!B25+'Co-PI Budget (4)'!B25+'Co-PI Budget (5)'!B25</f>
        <v>0</v>
      </c>
      <c r="C55" s="357">
        <f>+'Lead Budget'!C24+'Co-PI Budget (1)'!C24+'Co-PI Budget (2)'!C25+'Co-PI Budget (3)'!C25+'Co-PI Budget (4)'!C25+'Co-PI Budget (5)'!C25</f>
        <v>0</v>
      </c>
      <c r="D55" s="357">
        <f>+'Lead Budget'!D24+'Co-PI Budget (1)'!D24+'Co-PI Budget (2)'!D25+'Co-PI Budget (3)'!D25+'Co-PI Budget (4)'!D25+'Co-PI Budget (5)'!D25</f>
        <v>0</v>
      </c>
      <c r="E55" s="357">
        <f>+'Lead Budget'!E24+'Co-PI Budget (1)'!E24+'Co-PI Budget (2)'!E25+'Co-PI Budget (3)'!E25+'Co-PI Budget (4)'!E25+'Co-PI Budget (5)'!E25</f>
        <v>0</v>
      </c>
      <c r="F55" s="357">
        <f>+'Lead Budget'!F24+'Co-PI Budget (1)'!F24+'Co-PI Budget (2)'!F25+'Co-PI Budget (3)'!F25+'Co-PI Budget (4)'!F25+'Co-PI Budget (5)'!F25</f>
        <v>0</v>
      </c>
      <c r="G55" s="357">
        <f>+'Lead Budget'!G24+'Co-PI Budget (1)'!G24+'Co-PI Budget (2)'!G25+'Co-PI Budget (3)'!G25+'Co-PI Budget (4)'!G25+'Co-PI Budget (5)'!G25</f>
        <v>0</v>
      </c>
      <c r="H55" s="357">
        <f>+'Lead Budget'!H24+'Co-PI Budget (1)'!H24+'Co-PI Budget (2)'!H25+'Co-PI Budget (3)'!H25+'Co-PI Budget (4)'!H25+'Co-PI Budget (5)'!H25</f>
        <v>0</v>
      </c>
      <c r="I55" s="357">
        <f>+'Lead Budget'!I24+'Co-PI Budget (1)'!I24+'Co-PI Budget (2)'!I25+'Co-PI Budget (3)'!I25+'Co-PI Budget (4)'!I25+'Co-PI Budget (5)'!I25</f>
        <v>0</v>
      </c>
      <c r="J55" s="357">
        <f>+'Lead Budget'!J24+'Co-PI Budget (1)'!J24+'Co-PI Budget (2)'!J25+'Co-PI Budget (3)'!J25+'Co-PI Budget (4)'!J25+'Co-PI Budget (5)'!J25</f>
        <v>0</v>
      </c>
      <c r="K55" s="357">
        <f>+'Lead Budget'!K24+'Co-PI Budget (1)'!K24+'Co-PI Budget (2)'!K25+'Co-PI Budget (3)'!K25+'Co-PI Budget (4)'!K25+'Co-PI Budget (5)'!K25</f>
        <v>0</v>
      </c>
      <c r="L55" s="358">
        <f t="shared" si="20"/>
        <v>0</v>
      </c>
      <c r="M55" s="382"/>
    </row>
    <row r="56" spans="1:20" x14ac:dyDescent="0.2">
      <c r="A56" s="3" t="str">
        <f>+A32</f>
        <v>Other</v>
      </c>
      <c r="B56" s="357">
        <f>+'Lead Budget'!B25+'Co-PI Budget (1)'!B25+'Co-PI Budget (2)'!B26+'Co-PI Budget (3)'!B26+'Co-PI Budget (4)'!B26+'Co-PI Budget (5)'!B26</f>
        <v>0</v>
      </c>
      <c r="C56" s="357">
        <f>+'Lead Budget'!C25+'Co-PI Budget (1)'!C25+'Co-PI Budget (2)'!C26+'Co-PI Budget (3)'!C26+'Co-PI Budget (4)'!C26+'Co-PI Budget (5)'!C26</f>
        <v>0</v>
      </c>
      <c r="D56" s="357">
        <f>+'Lead Budget'!D25+'Co-PI Budget (1)'!D25+'Co-PI Budget (2)'!D26+'Co-PI Budget (3)'!D26+'Co-PI Budget (4)'!D26+'Co-PI Budget (5)'!D26</f>
        <v>0</v>
      </c>
      <c r="E56" s="357">
        <f>+'Lead Budget'!E25+'Co-PI Budget (1)'!E25+'Co-PI Budget (2)'!E26+'Co-PI Budget (3)'!E26+'Co-PI Budget (4)'!E26+'Co-PI Budget (5)'!E26</f>
        <v>0</v>
      </c>
      <c r="F56" s="357">
        <f>+'Lead Budget'!F25+'Co-PI Budget (1)'!F25+'Co-PI Budget (2)'!F26+'Co-PI Budget (3)'!F26+'Co-PI Budget (4)'!F26+'Co-PI Budget (5)'!F26</f>
        <v>0</v>
      </c>
      <c r="G56" s="357">
        <f>+'Lead Budget'!G25+'Co-PI Budget (1)'!G25+'Co-PI Budget (2)'!G26+'Co-PI Budget (3)'!G26+'Co-PI Budget (4)'!G26+'Co-PI Budget (5)'!G26</f>
        <v>0</v>
      </c>
      <c r="H56" s="357">
        <f>+'Lead Budget'!H25+'Co-PI Budget (1)'!H25+'Co-PI Budget (2)'!H26+'Co-PI Budget (3)'!H26+'Co-PI Budget (4)'!H26+'Co-PI Budget (5)'!H26</f>
        <v>0</v>
      </c>
      <c r="I56" s="357">
        <f>+'Lead Budget'!I25+'Co-PI Budget (1)'!I25+'Co-PI Budget (2)'!I26+'Co-PI Budget (3)'!I26+'Co-PI Budget (4)'!I26+'Co-PI Budget (5)'!I26</f>
        <v>0</v>
      </c>
      <c r="J56" s="357">
        <f>+'Lead Budget'!J25+'Co-PI Budget (1)'!J25+'Co-PI Budget (2)'!J26+'Co-PI Budget (3)'!J26+'Co-PI Budget (4)'!J26+'Co-PI Budget (5)'!J26</f>
        <v>0</v>
      </c>
      <c r="K56" s="357">
        <f>+'Lead Budget'!K25+'Co-PI Budget (1)'!K25+'Co-PI Budget (2)'!K26+'Co-PI Budget (3)'!K26+'Co-PI Budget (4)'!K26+'Co-PI Budget (5)'!K26</f>
        <v>0</v>
      </c>
      <c r="L56" s="358">
        <f t="shared" si="20"/>
        <v>0</v>
      </c>
      <c r="M56" s="382"/>
      <c r="N56" s="344"/>
      <c r="O56" s="347"/>
      <c r="P56" s="347"/>
      <c r="Q56" s="347"/>
      <c r="R56" s="347"/>
      <c r="S56" s="347"/>
      <c r="T56" s="347"/>
    </row>
    <row r="57" spans="1:20" ht="12" thickBot="1" x14ac:dyDescent="0.25">
      <c r="A57" s="76" t="str">
        <f>CONCATENATE("Total ",A35)</f>
        <v>Total Fringe Benefits</v>
      </c>
      <c r="B57" s="359">
        <f>SUM(B35:B56)</f>
        <v>0</v>
      </c>
      <c r="C57" s="359">
        <f t="shared" ref="C57:F57" si="21">SUM(C35:C56)</f>
        <v>0</v>
      </c>
      <c r="D57" s="359">
        <f t="shared" si="21"/>
        <v>0</v>
      </c>
      <c r="E57" s="359">
        <f t="shared" si="21"/>
        <v>0</v>
      </c>
      <c r="F57" s="359">
        <f t="shared" si="21"/>
        <v>0</v>
      </c>
      <c r="G57" s="359">
        <f t="shared" ref="G57:K57" si="22">SUM(G35:G56)</f>
        <v>0</v>
      </c>
      <c r="H57" s="359">
        <f t="shared" si="22"/>
        <v>0</v>
      </c>
      <c r="I57" s="359">
        <f t="shared" si="22"/>
        <v>0</v>
      </c>
      <c r="J57" s="359">
        <f t="shared" si="22"/>
        <v>0</v>
      </c>
      <c r="K57" s="359">
        <f t="shared" si="22"/>
        <v>0</v>
      </c>
      <c r="L57" s="360">
        <f>SUM(L35:L56)</f>
        <v>0</v>
      </c>
      <c r="M57" s="382"/>
      <c r="N57" s="339"/>
      <c r="O57" s="339"/>
      <c r="P57" s="339"/>
    </row>
    <row r="58" spans="1:20" ht="12" thickBot="1" x14ac:dyDescent="0.25">
      <c r="A58" s="130" t="s">
        <v>108</v>
      </c>
      <c r="B58" s="131">
        <f>+B34+B57</f>
        <v>0</v>
      </c>
      <c r="C58" s="131">
        <f t="shared" ref="C58:L58" si="23">+C34+C57</f>
        <v>0</v>
      </c>
      <c r="D58" s="131">
        <f t="shared" si="23"/>
        <v>0</v>
      </c>
      <c r="E58" s="131">
        <f>+E34+E57</f>
        <v>0</v>
      </c>
      <c r="F58" s="131">
        <f t="shared" si="23"/>
        <v>0</v>
      </c>
      <c r="G58" s="131">
        <f t="shared" ref="G58:K58" si="24">+G34+G57</f>
        <v>0</v>
      </c>
      <c r="H58" s="131">
        <f t="shared" si="24"/>
        <v>0</v>
      </c>
      <c r="I58" s="131">
        <f t="shared" si="24"/>
        <v>0</v>
      </c>
      <c r="J58" s="131">
        <f t="shared" si="24"/>
        <v>0</v>
      </c>
      <c r="K58" s="131">
        <f t="shared" si="24"/>
        <v>0</v>
      </c>
      <c r="L58" s="364">
        <f t="shared" si="23"/>
        <v>0</v>
      </c>
      <c r="M58" s="382"/>
      <c r="N58" s="339"/>
      <c r="O58" s="339"/>
      <c r="P58" s="339"/>
    </row>
    <row r="59" spans="1:20" x14ac:dyDescent="0.2">
      <c r="A59" s="77" t="s">
        <v>25</v>
      </c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8"/>
      <c r="M59" s="382"/>
      <c r="N59" s="339"/>
      <c r="O59" s="339"/>
      <c r="P59" s="339"/>
    </row>
    <row r="60" spans="1:20" x14ac:dyDescent="0.2">
      <c r="A60" s="3" t="s">
        <v>62</v>
      </c>
      <c r="B60" s="357">
        <f>+'Lead Budget'!B29+'Co-PI Budget (1)'!B29+'Co-PI Budget (2)'!B30+'Co-PI Budget (3)'!B30+'Co-PI Budget (4)'!B30+'Co-PI Budget (5)'!B30</f>
        <v>0</v>
      </c>
      <c r="C60" s="357">
        <f>+'Lead Budget'!C29+'Co-PI Budget (1)'!C29+'Co-PI Budget (2)'!C30+'Co-PI Budget (3)'!C30+'Co-PI Budget (4)'!C30+'Co-PI Budget (5)'!C30</f>
        <v>0</v>
      </c>
      <c r="D60" s="357">
        <f>+'Lead Budget'!D29+'Co-PI Budget (1)'!D29+'Co-PI Budget (2)'!D30+'Co-PI Budget (3)'!D30+'Co-PI Budget (4)'!D30+'Co-PI Budget (5)'!D30</f>
        <v>0</v>
      </c>
      <c r="E60" s="357">
        <f>+'Lead Budget'!E29+'Co-PI Budget (1)'!E29+'Co-PI Budget (2)'!E30+'Co-PI Budget (3)'!E30+'Co-PI Budget (4)'!E30+'Co-PI Budget (5)'!E30</f>
        <v>0</v>
      </c>
      <c r="F60" s="357">
        <f>+'Lead Budget'!F29+'Co-PI Budget (1)'!F29+'Co-PI Budget (2)'!F30+'Co-PI Budget (3)'!F30+'Co-PI Budget (4)'!F30+'Co-PI Budget (5)'!F30</f>
        <v>0</v>
      </c>
      <c r="G60" s="357">
        <f>+'Lead Budget'!G29+'Co-PI Budget (1)'!G29+'Co-PI Budget (2)'!G30+'Co-PI Budget (3)'!G30+'Co-PI Budget (4)'!G30+'Co-PI Budget (5)'!G30</f>
        <v>0</v>
      </c>
      <c r="H60" s="357">
        <f>+'Lead Budget'!H29+'Co-PI Budget (1)'!H29+'Co-PI Budget (2)'!H30+'Co-PI Budget (3)'!H30+'Co-PI Budget (4)'!H30+'Co-PI Budget (5)'!H30</f>
        <v>0</v>
      </c>
      <c r="I60" s="357">
        <f>+'Lead Budget'!I29+'Co-PI Budget (1)'!I29+'Co-PI Budget (2)'!I30+'Co-PI Budget (3)'!I30+'Co-PI Budget (4)'!I30+'Co-PI Budget (5)'!I30</f>
        <v>0</v>
      </c>
      <c r="J60" s="357">
        <f>+'Lead Budget'!J29+'Co-PI Budget (1)'!J29+'Co-PI Budget (2)'!J30+'Co-PI Budget (3)'!J30+'Co-PI Budget (4)'!J30+'Co-PI Budget (5)'!J30</f>
        <v>0</v>
      </c>
      <c r="K60" s="357">
        <f>+'Lead Budget'!K29+'Co-PI Budget (1)'!K29+'Co-PI Budget (2)'!K30+'Co-PI Budget (3)'!K30+'Co-PI Budget (4)'!K30+'Co-PI Budget (5)'!K30</f>
        <v>0</v>
      </c>
      <c r="L60" s="358">
        <f>SUM(B60:K60)</f>
        <v>0</v>
      </c>
      <c r="M60" s="382"/>
    </row>
    <row r="61" spans="1:20" ht="12" thickBot="1" x14ac:dyDescent="0.25">
      <c r="A61" s="76" t="str">
        <f>CONCATENATE("Total ",A59)</f>
        <v>Total Equipment</v>
      </c>
      <c r="B61" s="359">
        <f t="shared" ref="B61:L61" si="25">SUM(B59:B60)</f>
        <v>0</v>
      </c>
      <c r="C61" s="359">
        <f t="shared" si="25"/>
        <v>0</v>
      </c>
      <c r="D61" s="359">
        <f t="shared" si="25"/>
        <v>0</v>
      </c>
      <c r="E61" s="359">
        <f t="shared" si="25"/>
        <v>0</v>
      </c>
      <c r="F61" s="359">
        <f t="shared" si="25"/>
        <v>0</v>
      </c>
      <c r="G61" s="359">
        <f t="shared" ref="G61:K61" si="26">SUM(G59:G60)</f>
        <v>0</v>
      </c>
      <c r="H61" s="359">
        <f t="shared" si="26"/>
        <v>0</v>
      </c>
      <c r="I61" s="359">
        <f t="shared" si="26"/>
        <v>0</v>
      </c>
      <c r="J61" s="359">
        <f t="shared" si="26"/>
        <v>0</v>
      </c>
      <c r="K61" s="359">
        <f t="shared" si="26"/>
        <v>0</v>
      </c>
      <c r="L61" s="360">
        <f t="shared" si="25"/>
        <v>0</v>
      </c>
      <c r="M61" s="382"/>
    </row>
    <row r="62" spans="1:20" x14ac:dyDescent="0.2">
      <c r="A62" s="77" t="s">
        <v>34</v>
      </c>
      <c r="B62" s="357"/>
      <c r="C62" s="357"/>
      <c r="D62" s="357"/>
      <c r="E62" s="357"/>
      <c r="F62" s="357"/>
      <c r="G62" s="357"/>
      <c r="H62" s="357"/>
      <c r="I62" s="357"/>
      <c r="J62" s="357"/>
      <c r="K62" s="357"/>
      <c r="L62" s="358"/>
      <c r="M62" s="382"/>
    </row>
    <row r="63" spans="1:20" x14ac:dyDescent="0.2">
      <c r="A63" s="3" t="s">
        <v>10</v>
      </c>
      <c r="B63" s="357">
        <f>+'Lead Budget'!B32+'Co-PI Budget (1)'!B32+'Co-PI Budget (2)'!B34+'Co-PI Budget (3)'!B34+'Co-PI Budget (4)'!B34+'Co-PI Budget (5)'!B34</f>
        <v>0</v>
      </c>
      <c r="C63" s="357">
        <f>+'Lead Budget'!C32+'Co-PI Budget (1)'!C32+'Co-PI Budget (2)'!C34+'Co-PI Budget (3)'!C34+'Co-PI Budget (4)'!C34+'Co-PI Budget (5)'!C34</f>
        <v>0</v>
      </c>
      <c r="D63" s="357">
        <f>+'Lead Budget'!D32+'Co-PI Budget (1)'!D32+'Co-PI Budget (2)'!D34+'Co-PI Budget (3)'!D34+'Co-PI Budget (4)'!D34+'Co-PI Budget (5)'!D34</f>
        <v>0</v>
      </c>
      <c r="E63" s="357">
        <f>+'Lead Budget'!E32+'Co-PI Budget (1)'!E32+'Co-PI Budget (2)'!E34+'Co-PI Budget (3)'!E34+'Co-PI Budget (4)'!E34+'Co-PI Budget (5)'!E34</f>
        <v>0</v>
      </c>
      <c r="F63" s="357">
        <f>+'Lead Budget'!F32+'Co-PI Budget (1)'!F32+'Co-PI Budget (2)'!F34+'Co-PI Budget (3)'!F34+'Co-PI Budget (4)'!F34+'Co-PI Budget (5)'!F34</f>
        <v>0</v>
      </c>
      <c r="G63" s="357">
        <f>+'Lead Budget'!G32+'Co-PI Budget (1)'!G32+'Co-PI Budget (2)'!G34+'Co-PI Budget (3)'!G34+'Co-PI Budget (4)'!G34+'Co-PI Budget (5)'!G34</f>
        <v>0</v>
      </c>
      <c r="H63" s="357">
        <f>+'Lead Budget'!H32+'Co-PI Budget (1)'!H32+'Co-PI Budget (2)'!H34+'Co-PI Budget (3)'!H34+'Co-PI Budget (4)'!H34+'Co-PI Budget (5)'!H34</f>
        <v>0</v>
      </c>
      <c r="I63" s="357">
        <f>+'Lead Budget'!I32+'Co-PI Budget (1)'!I32+'Co-PI Budget (2)'!I34+'Co-PI Budget (3)'!I34+'Co-PI Budget (4)'!I34+'Co-PI Budget (5)'!I34</f>
        <v>0</v>
      </c>
      <c r="J63" s="357">
        <f>+'Lead Budget'!J32+'Co-PI Budget (1)'!J32+'Co-PI Budget (2)'!J34+'Co-PI Budget (3)'!J34+'Co-PI Budget (4)'!J34+'Co-PI Budget (5)'!J34</f>
        <v>0</v>
      </c>
      <c r="K63" s="357">
        <f>+'Lead Budget'!K32+'Co-PI Budget (1)'!K32+'Co-PI Budget (2)'!K34+'Co-PI Budget (3)'!K34+'Co-PI Budget (4)'!K34+'Co-PI Budget (5)'!K34</f>
        <v>0</v>
      </c>
      <c r="L63" s="358">
        <f>SUM(B63:K63)</f>
        <v>0</v>
      </c>
      <c r="M63" s="382"/>
    </row>
    <row r="64" spans="1:20" x14ac:dyDescent="0.2">
      <c r="A64" s="3" t="s">
        <v>11</v>
      </c>
      <c r="B64" s="357">
        <f>+'Lead Budget'!B33+'Co-PI Budget (1)'!B33+'Co-PI Budget (2)'!B35+'Co-PI Budget (3)'!B35+'Co-PI Budget (4)'!B35+'Co-PI Budget (5)'!B35</f>
        <v>0</v>
      </c>
      <c r="C64" s="357">
        <f>+'Lead Budget'!C33+'Co-PI Budget (1)'!C33+'Co-PI Budget (2)'!C35+'Co-PI Budget (3)'!C35+'Co-PI Budget (4)'!C35+'Co-PI Budget (5)'!C35</f>
        <v>0</v>
      </c>
      <c r="D64" s="357">
        <f>+'Lead Budget'!D33+'Co-PI Budget (1)'!D33+'Co-PI Budget (2)'!D35+'Co-PI Budget (3)'!D35+'Co-PI Budget (4)'!D35+'Co-PI Budget (5)'!D35</f>
        <v>0</v>
      </c>
      <c r="E64" s="357">
        <f>+'Lead Budget'!E33+'Co-PI Budget (1)'!E33+'Co-PI Budget (2)'!E35+'Co-PI Budget (3)'!E35+'Co-PI Budget (4)'!E35+'Co-PI Budget (5)'!E35</f>
        <v>0</v>
      </c>
      <c r="F64" s="357">
        <f>+'Lead Budget'!F33+'Co-PI Budget (1)'!F33+'Co-PI Budget (2)'!F35+'Co-PI Budget (3)'!F35+'Co-PI Budget (4)'!F35+'Co-PI Budget (5)'!F35</f>
        <v>0</v>
      </c>
      <c r="G64" s="357">
        <f>+'Lead Budget'!G33+'Co-PI Budget (1)'!G33+'Co-PI Budget (2)'!G35+'Co-PI Budget (3)'!G35+'Co-PI Budget (4)'!G35+'Co-PI Budget (5)'!G35</f>
        <v>0</v>
      </c>
      <c r="H64" s="357">
        <f>+'Lead Budget'!H33+'Co-PI Budget (1)'!H33+'Co-PI Budget (2)'!H35+'Co-PI Budget (3)'!H35+'Co-PI Budget (4)'!H35+'Co-PI Budget (5)'!H35</f>
        <v>0</v>
      </c>
      <c r="I64" s="357">
        <f>+'Lead Budget'!I33+'Co-PI Budget (1)'!I33+'Co-PI Budget (2)'!I35+'Co-PI Budget (3)'!I35+'Co-PI Budget (4)'!I35+'Co-PI Budget (5)'!I35</f>
        <v>0</v>
      </c>
      <c r="J64" s="357">
        <f>+'Lead Budget'!J33+'Co-PI Budget (1)'!J33+'Co-PI Budget (2)'!J35+'Co-PI Budget (3)'!J35+'Co-PI Budget (4)'!J35+'Co-PI Budget (5)'!J35</f>
        <v>0</v>
      </c>
      <c r="K64" s="357">
        <f>+'Lead Budget'!K33+'Co-PI Budget (1)'!K33+'Co-PI Budget (2)'!K35+'Co-PI Budget (3)'!K35+'Co-PI Budget (4)'!K35+'Co-PI Budget (5)'!K35</f>
        <v>0</v>
      </c>
      <c r="L64" s="358">
        <f>SUM(B64:K64)</f>
        <v>0</v>
      </c>
      <c r="M64" s="382"/>
    </row>
    <row r="65" spans="1:16" ht="12" thickBot="1" x14ac:dyDescent="0.25">
      <c r="A65" s="76" t="str">
        <f>CONCATENATE("Total ",A62)</f>
        <v>Total Travel</v>
      </c>
      <c r="B65" s="359">
        <f>SUM(B62:B64)</f>
        <v>0</v>
      </c>
      <c r="C65" s="359">
        <f t="shared" ref="C65:L65" si="27">SUM(C62:C64)</f>
        <v>0</v>
      </c>
      <c r="D65" s="359">
        <f t="shared" si="27"/>
        <v>0</v>
      </c>
      <c r="E65" s="359">
        <f t="shared" si="27"/>
        <v>0</v>
      </c>
      <c r="F65" s="359">
        <f t="shared" si="27"/>
        <v>0</v>
      </c>
      <c r="G65" s="359">
        <f t="shared" ref="G65:K65" si="28">SUM(G62:G64)</f>
        <v>0</v>
      </c>
      <c r="H65" s="359">
        <f t="shared" si="28"/>
        <v>0</v>
      </c>
      <c r="I65" s="359">
        <f t="shared" si="28"/>
        <v>0</v>
      </c>
      <c r="J65" s="359">
        <f t="shared" si="28"/>
        <v>0</v>
      </c>
      <c r="K65" s="359">
        <f t="shared" si="28"/>
        <v>0</v>
      </c>
      <c r="L65" s="360">
        <f t="shared" si="27"/>
        <v>0</v>
      </c>
      <c r="M65" s="382"/>
    </row>
    <row r="66" spans="1:16" x14ac:dyDescent="0.2">
      <c r="A66" s="77" t="s">
        <v>27</v>
      </c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8"/>
      <c r="M66" s="382"/>
    </row>
    <row r="67" spans="1:16" x14ac:dyDescent="0.2">
      <c r="A67" s="3" t="str">
        <f>+'Lead Budget'!A36</f>
        <v>Tuition/Fees/Health Insurance</v>
      </c>
      <c r="B67" s="357">
        <f>+'Lead Budget'!B36+'Co-PI Budget (1)'!B36+'Co-PI Budget (2)'!B38+'Co-PI Budget (3)'!B38+'Co-PI Budget (4)'!B38+'Co-PI Budget (5)'!B38</f>
        <v>0</v>
      </c>
      <c r="C67" s="357">
        <f>+'Lead Budget'!C36+'Co-PI Budget (1)'!C36+'Co-PI Budget (2)'!C38+'Co-PI Budget (3)'!C38+'Co-PI Budget (4)'!C38+'Co-PI Budget (5)'!C38</f>
        <v>0</v>
      </c>
      <c r="D67" s="357">
        <f>+'Lead Budget'!D36+'Co-PI Budget (1)'!D36+'Co-PI Budget (2)'!D38+'Co-PI Budget (3)'!D38+'Co-PI Budget (4)'!D38+'Co-PI Budget (5)'!D38</f>
        <v>0</v>
      </c>
      <c r="E67" s="357">
        <f>+'Lead Budget'!E36+'Co-PI Budget (1)'!E36+'Co-PI Budget (2)'!E38+'Co-PI Budget (3)'!E38+'Co-PI Budget (4)'!E38+'Co-PI Budget (5)'!E38</f>
        <v>0</v>
      </c>
      <c r="F67" s="357">
        <f>+'Lead Budget'!F36+'Co-PI Budget (1)'!F36+'Co-PI Budget (2)'!F38+'Co-PI Budget (3)'!F38+'Co-PI Budget (4)'!F38+'Co-PI Budget (5)'!F38</f>
        <v>0</v>
      </c>
      <c r="G67" s="357">
        <f>+'Lead Budget'!G36+'Co-PI Budget (1)'!G36+'Co-PI Budget (2)'!G38+'Co-PI Budget (3)'!G38+'Co-PI Budget (4)'!G38+'Co-PI Budget (5)'!G38</f>
        <v>0</v>
      </c>
      <c r="H67" s="357">
        <f>+'Lead Budget'!H36+'Co-PI Budget (1)'!H36+'Co-PI Budget (2)'!H38+'Co-PI Budget (3)'!H38+'Co-PI Budget (4)'!H38+'Co-PI Budget (5)'!H38</f>
        <v>0</v>
      </c>
      <c r="I67" s="357">
        <f>+'Lead Budget'!I36+'Co-PI Budget (1)'!I36+'Co-PI Budget (2)'!I38+'Co-PI Budget (3)'!I38+'Co-PI Budget (4)'!I38+'Co-PI Budget (5)'!I38</f>
        <v>0</v>
      </c>
      <c r="J67" s="357">
        <f>+'Lead Budget'!J36+'Co-PI Budget (1)'!J36+'Co-PI Budget (2)'!J38+'Co-PI Budget (3)'!J38+'Co-PI Budget (4)'!J38+'Co-PI Budget (5)'!J38</f>
        <v>0</v>
      </c>
      <c r="K67" s="357">
        <f>+'Lead Budget'!K36+'Co-PI Budget (1)'!K36+'Co-PI Budget (2)'!K38+'Co-PI Budget (3)'!K38+'Co-PI Budget (4)'!K38+'Co-PI Budget (5)'!K38</f>
        <v>0</v>
      </c>
      <c r="L67" s="358">
        <f>SUM(B67:K67)</f>
        <v>0</v>
      </c>
      <c r="M67" s="382"/>
    </row>
    <row r="68" spans="1:16" x14ac:dyDescent="0.2">
      <c r="A68" s="3" t="str">
        <f>+'Lead Budget'!A37</f>
        <v>Stipends</v>
      </c>
      <c r="B68" s="357">
        <f>+'Lead Budget'!B37+'Co-PI Budget (1)'!B37+'Co-PI Budget (2)'!B39+'Co-PI Budget (3)'!B39+'Co-PI Budget (4)'!B39+'Co-PI Budget (5)'!B39</f>
        <v>0</v>
      </c>
      <c r="C68" s="357">
        <f>+'Lead Budget'!C37+'Co-PI Budget (1)'!C37+'Co-PI Budget (2)'!C39+'Co-PI Budget (3)'!C39+'Co-PI Budget (4)'!C39+'Co-PI Budget (5)'!C39</f>
        <v>0</v>
      </c>
      <c r="D68" s="357">
        <f>+'Lead Budget'!D37+'Co-PI Budget (1)'!D37+'Co-PI Budget (2)'!D39+'Co-PI Budget (3)'!D39+'Co-PI Budget (4)'!D39+'Co-PI Budget (5)'!D39</f>
        <v>0</v>
      </c>
      <c r="E68" s="357">
        <f>+'Lead Budget'!E37+'Co-PI Budget (1)'!E37+'Co-PI Budget (2)'!E39+'Co-PI Budget (3)'!E39+'Co-PI Budget (4)'!E39+'Co-PI Budget (5)'!E39</f>
        <v>0</v>
      </c>
      <c r="F68" s="357">
        <f>+'Lead Budget'!F37+'Co-PI Budget (1)'!F37+'Co-PI Budget (2)'!F39+'Co-PI Budget (3)'!F39+'Co-PI Budget (4)'!F39+'Co-PI Budget (5)'!F39</f>
        <v>0</v>
      </c>
      <c r="G68" s="357">
        <f>+'Lead Budget'!G37+'Co-PI Budget (1)'!G37+'Co-PI Budget (2)'!G39+'Co-PI Budget (3)'!G39+'Co-PI Budget (4)'!G39+'Co-PI Budget (5)'!G39</f>
        <v>0</v>
      </c>
      <c r="H68" s="357">
        <f>+'Lead Budget'!H37+'Co-PI Budget (1)'!H37+'Co-PI Budget (2)'!H39+'Co-PI Budget (3)'!H39+'Co-PI Budget (4)'!H39+'Co-PI Budget (5)'!H39</f>
        <v>0</v>
      </c>
      <c r="I68" s="357">
        <f>+'Lead Budget'!I37+'Co-PI Budget (1)'!I37+'Co-PI Budget (2)'!I39+'Co-PI Budget (3)'!I39+'Co-PI Budget (4)'!I39+'Co-PI Budget (5)'!I39</f>
        <v>0</v>
      </c>
      <c r="J68" s="357">
        <f>+'Lead Budget'!J37+'Co-PI Budget (1)'!J37+'Co-PI Budget (2)'!J39+'Co-PI Budget (3)'!J39+'Co-PI Budget (4)'!J39+'Co-PI Budget (5)'!J39</f>
        <v>0</v>
      </c>
      <c r="K68" s="357">
        <f>+'Lead Budget'!K37+'Co-PI Budget (1)'!K37+'Co-PI Budget (2)'!K39+'Co-PI Budget (3)'!K39+'Co-PI Budget (4)'!K39+'Co-PI Budget (5)'!K39</f>
        <v>0</v>
      </c>
      <c r="L68" s="358">
        <f t="shared" ref="L68:L71" si="29">SUM(B68:K68)</f>
        <v>0</v>
      </c>
      <c r="M68" s="382"/>
    </row>
    <row r="69" spans="1:16" x14ac:dyDescent="0.2">
      <c r="A69" s="3" t="str">
        <f>+'Lead Budget'!A38</f>
        <v>Travel</v>
      </c>
      <c r="B69" s="357">
        <f>+'Lead Budget'!B38+'Co-PI Budget (1)'!B38+'Co-PI Budget (2)'!B40+'Co-PI Budget (3)'!B40+'Co-PI Budget (4)'!B40+'Co-PI Budget (5)'!B40</f>
        <v>0</v>
      </c>
      <c r="C69" s="357">
        <f>+'Lead Budget'!C38+'Co-PI Budget (1)'!C38+'Co-PI Budget (2)'!C40+'Co-PI Budget (3)'!C40+'Co-PI Budget (4)'!C40+'Co-PI Budget (5)'!C40</f>
        <v>0</v>
      </c>
      <c r="D69" s="357">
        <f>+'Lead Budget'!D38+'Co-PI Budget (1)'!D38+'Co-PI Budget (2)'!D40+'Co-PI Budget (3)'!D40+'Co-PI Budget (4)'!D40+'Co-PI Budget (5)'!D40</f>
        <v>0</v>
      </c>
      <c r="E69" s="357">
        <f>+'Lead Budget'!E38+'Co-PI Budget (1)'!E38+'Co-PI Budget (2)'!E40+'Co-PI Budget (3)'!E40+'Co-PI Budget (4)'!E40+'Co-PI Budget (5)'!E40</f>
        <v>0</v>
      </c>
      <c r="F69" s="357">
        <f>+'Lead Budget'!F38+'Co-PI Budget (1)'!F38+'Co-PI Budget (2)'!F40+'Co-PI Budget (3)'!F40+'Co-PI Budget (4)'!F40+'Co-PI Budget (5)'!F40</f>
        <v>0</v>
      </c>
      <c r="G69" s="357">
        <f>+'Lead Budget'!G38+'Co-PI Budget (1)'!G38+'Co-PI Budget (2)'!G40+'Co-PI Budget (3)'!G40+'Co-PI Budget (4)'!G40+'Co-PI Budget (5)'!G40</f>
        <v>0</v>
      </c>
      <c r="H69" s="357">
        <f>+'Lead Budget'!H38+'Co-PI Budget (1)'!H38+'Co-PI Budget (2)'!H40+'Co-PI Budget (3)'!H40+'Co-PI Budget (4)'!H40+'Co-PI Budget (5)'!H40</f>
        <v>0</v>
      </c>
      <c r="I69" s="357">
        <f>+'Lead Budget'!I38+'Co-PI Budget (1)'!I38+'Co-PI Budget (2)'!I40+'Co-PI Budget (3)'!I40+'Co-PI Budget (4)'!I40+'Co-PI Budget (5)'!I40</f>
        <v>0</v>
      </c>
      <c r="J69" s="357">
        <f>+'Lead Budget'!J38+'Co-PI Budget (1)'!J38+'Co-PI Budget (2)'!J40+'Co-PI Budget (3)'!J40+'Co-PI Budget (4)'!J40+'Co-PI Budget (5)'!J40</f>
        <v>0</v>
      </c>
      <c r="K69" s="357">
        <f>+'Lead Budget'!K38+'Co-PI Budget (1)'!K38+'Co-PI Budget (2)'!K40+'Co-PI Budget (3)'!K40+'Co-PI Budget (4)'!K40+'Co-PI Budget (5)'!K40</f>
        <v>0</v>
      </c>
      <c r="L69" s="358">
        <f t="shared" si="29"/>
        <v>0</v>
      </c>
      <c r="M69" s="382"/>
    </row>
    <row r="70" spans="1:16" x14ac:dyDescent="0.2">
      <c r="A70" s="3" t="str">
        <f>+'Lead Budget'!A39</f>
        <v>Subsistence</v>
      </c>
      <c r="B70" s="357">
        <f>+'Lead Budget'!B39+'Co-PI Budget (1)'!B39+'Co-PI Budget (2)'!B41+'Co-PI Budget (3)'!B41+'Co-PI Budget (4)'!B41+'Co-PI Budget (5)'!B41</f>
        <v>0</v>
      </c>
      <c r="C70" s="357">
        <f>+'Lead Budget'!C39+'Co-PI Budget (1)'!C39+'Co-PI Budget (2)'!C41+'Co-PI Budget (3)'!C41+'Co-PI Budget (4)'!C41+'Co-PI Budget (5)'!C41</f>
        <v>0</v>
      </c>
      <c r="D70" s="357">
        <f>+'Lead Budget'!D39+'Co-PI Budget (1)'!D39+'Co-PI Budget (2)'!D41+'Co-PI Budget (3)'!D41+'Co-PI Budget (4)'!D41+'Co-PI Budget (5)'!D41</f>
        <v>0</v>
      </c>
      <c r="E70" s="357">
        <f>+'Lead Budget'!E39+'Co-PI Budget (1)'!E39+'Co-PI Budget (2)'!E41+'Co-PI Budget (3)'!E41+'Co-PI Budget (4)'!E41+'Co-PI Budget (5)'!E41</f>
        <v>0</v>
      </c>
      <c r="F70" s="357">
        <f>+'Lead Budget'!F39+'Co-PI Budget (1)'!F39+'Co-PI Budget (2)'!F41+'Co-PI Budget (3)'!F41+'Co-PI Budget (4)'!F41+'Co-PI Budget (5)'!F41</f>
        <v>0</v>
      </c>
      <c r="G70" s="357">
        <f>+'Lead Budget'!G39+'Co-PI Budget (1)'!G39+'Co-PI Budget (2)'!G41+'Co-PI Budget (3)'!G41+'Co-PI Budget (4)'!G41+'Co-PI Budget (5)'!G41</f>
        <v>0</v>
      </c>
      <c r="H70" s="357">
        <f>+'Lead Budget'!H39+'Co-PI Budget (1)'!H39+'Co-PI Budget (2)'!H41+'Co-PI Budget (3)'!H41+'Co-PI Budget (4)'!H41+'Co-PI Budget (5)'!H41</f>
        <v>0</v>
      </c>
      <c r="I70" s="357">
        <f>+'Lead Budget'!I39+'Co-PI Budget (1)'!I39+'Co-PI Budget (2)'!I41+'Co-PI Budget (3)'!I41+'Co-PI Budget (4)'!I41+'Co-PI Budget (5)'!I41</f>
        <v>0</v>
      </c>
      <c r="J70" s="357">
        <f>+'Lead Budget'!J39+'Co-PI Budget (1)'!J39+'Co-PI Budget (2)'!J41+'Co-PI Budget (3)'!J41+'Co-PI Budget (4)'!J41+'Co-PI Budget (5)'!J41</f>
        <v>0</v>
      </c>
      <c r="K70" s="357">
        <f>+'Lead Budget'!K39+'Co-PI Budget (1)'!K39+'Co-PI Budget (2)'!K41+'Co-PI Budget (3)'!K41+'Co-PI Budget (4)'!K41+'Co-PI Budget (5)'!K41</f>
        <v>0</v>
      </c>
      <c r="L70" s="358">
        <f t="shared" si="29"/>
        <v>0</v>
      </c>
      <c r="M70" s="382"/>
      <c r="P70" s="339"/>
    </row>
    <row r="71" spans="1:16" x14ac:dyDescent="0.2">
      <c r="A71" s="3" t="str">
        <f>+'Lead Budget'!A40</f>
        <v>Other</v>
      </c>
      <c r="B71" s="357">
        <f>+'Lead Budget'!B40+'Co-PI Budget (1)'!B40+'Co-PI Budget (2)'!B42+'Co-PI Budget (3)'!B42+'Co-PI Budget (4)'!B42+'Co-PI Budget (5)'!B42</f>
        <v>0</v>
      </c>
      <c r="C71" s="357">
        <f>+'Lead Budget'!C40+'Co-PI Budget (1)'!C40+'Co-PI Budget (2)'!C42+'Co-PI Budget (3)'!C42+'Co-PI Budget (4)'!C42+'Co-PI Budget (5)'!C42</f>
        <v>0</v>
      </c>
      <c r="D71" s="357">
        <f>+'Lead Budget'!D40+'Co-PI Budget (1)'!D40+'Co-PI Budget (2)'!D42+'Co-PI Budget (3)'!D42+'Co-PI Budget (4)'!D42+'Co-PI Budget (5)'!D42</f>
        <v>0</v>
      </c>
      <c r="E71" s="357">
        <f>+'Lead Budget'!E40+'Co-PI Budget (1)'!E40+'Co-PI Budget (2)'!E42+'Co-PI Budget (3)'!E42+'Co-PI Budget (4)'!E42+'Co-PI Budget (5)'!E42</f>
        <v>0</v>
      </c>
      <c r="F71" s="357">
        <f>+'Lead Budget'!F40+'Co-PI Budget (1)'!F40+'Co-PI Budget (2)'!F42+'Co-PI Budget (3)'!F42+'Co-PI Budget (4)'!F42+'Co-PI Budget (5)'!F42</f>
        <v>0</v>
      </c>
      <c r="G71" s="357">
        <f>+'Lead Budget'!G40+'Co-PI Budget (1)'!G40+'Co-PI Budget (2)'!G42+'Co-PI Budget (3)'!G42+'Co-PI Budget (4)'!G42+'Co-PI Budget (5)'!G42</f>
        <v>0</v>
      </c>
      <c r="H71" s="357">
        <f>+'Lead Budget'!H40+'Co-PI Budget (1)'!H40+'Co-PI Budget (2)'!H42+'Co-PI Budget (3)'!H42+'Co-PI Budget (4)'!H42+'Co-PI Budget (5)'!H42</f>
        <v>0</v>
      </c>
      <c r="I71" s="357">
        <f>+'Lead Budget'!I40+'Co-PI Budget (1)'!I40+'Co-PI Budget (2)'!I42+'Co-PI Budget (3)'!I42+'Co-PI Budget (4)'!I42+'Co-PI Budget (5)'!I42</f>
        <v>0</v>
      </c>
      <c r="J71" s="357">
        <f>+'Lead Budget'!J40+'Co-PI Budget (1)'!J40+'Co-PI Budget (2)'!J42+'Co-PI Budget (3)'!J42+'Co-PI Budget (4)'!J42+'Co-PI Budget (5)'!J42</f>
        <v>0</v>
      </c>
      <c r="K71" s="357">
        <f>+'Lead Budget'!K40+'Co-PI Budget (1)'!K40+'Co-PI Budget (2)'!K42+'Co-PI Budget (3)'!K42+'Co-PI Budget (4)'!K42+'Co-PI Budget (5)'!K42</f>
        <v>0</v>
      </c>
      <c r="L71" s="358">
        <f t="shared" si="29"/>
        <v>0</v>
      </c>
      <c r="M71" s="382"/>
    </row>
    <row r="72" spans="1:16" ht="12" thickBot="1" x14ac:dyDescent="0.25">
      <c r="A72" s="76" t="str">
        <f>CONCATENATE("Total ",A66)</f>
        <v>Total Participant Support Costs</v>
      </c>
      <c r="B72" s="359">
        <f>SUM(B66:B71)</f>
        <v>0</v>
      </c>
      <c r="C72" s="359">
        <f t="shared" ref="C72:L72" si="30">SUM(C66:C71)</f>
        <v>0</v>
      </c>
      <c r="D72" s="359">
        <f t="shared" si="30"/>
        <v>0</v>
      </c>
      <c r="E72" s="359">
        <f t="shared" si="30"/>
        <v>0</v>
      </c>
      <c r="F72" s="359">
        <f t="shared" si="30"/>
        <v>0</v>
      </c>
      <c r="G72" s="359">
        <f t="shared" ref="G72:K72" si="31">SUM(G66:G71)</f>
        <v>0</v>
      </c>
      <c r="H72" s="359">
        <f t="shared" si="31"/>
        <v>0</v>
      </c>
      <c r="I72" s="359">
        <f t="shared" si="31"/>
        <v>0</v>
      </c>
      <c r="J72" s="359">
        <f t="shared" si="31"/>
        <v>0</v>
      </c>
      <c r="K72" s="359">
        <f t="shared" si="31"/>
        <v>0</v>
      </c>
      <c r="L72" s="360">
        <f t="shared" si="30"/>
        <v>0</v>
      </c>
      <c r="M72" s="382"/>
    </row>
    <row r="73" spans="1:16" x14ac:dyDescent="0.2">
      <c r="A73" s="77" t="s">
        <v>13</v>
      </c>
      <c r="B73" s="357"/>
      <c r="C73" s="357"/>
      <c r="D73" s="357"/>
      <c r="E73" s="357"/>
      <c r="F73" s="357"/>
      <c r="G73" s="357"/>
      <c r="H73" s="357"/>
      <c r="I73" s="357"/>
      <c r="J73" s="357"/>
      <c r="K73" s="357"/>
      <c r="L73" s="358"/>
      <c r="M73" s="382"/>
      <c r="N73" s="348"/>
    </row>
    <row r="74" spans="1:16" x14ac:dyDescent="0.2">
      <c r="A74" s="3" t="s">
        <v>14</v>
      </c>
      <c r="B74" s="357">
        <f>+'Lead Budget'!B43+'Co-PI Budget (1)'!B43+'Co-PI Budget (2)'!B45+'Co-PI Budget (3)'!B45+'Co-PI Budget (4)'!B45+'Co-PI Budget (5)'!B45</f>
        <v>0</v>
      </c>
      <c r="C74" s="357">
        <f>+'Lead Budget'!C43+'Co-PI Budget (1)'!C43+'Co-PI Budget (2)'!C45+'Co-PI Budget (3)'!C45+'Co-PI Budget (4)'!C45+'Co-PI Budget (5)'!C45</f>
        <v>0</v>
      </c>
      <c r="D74" s="357">
        <f>+'Lead Budget'!D43+'Co-PI Budget (1)'!D43+'Co-PI Budget (2)'!D45+'Co-PI Budget (3)'!D45+'Co-PI Budget (4)'!D45+'Co-PI Budget (5)'!D45</f>
        <v>0</v>
      </c>
      <c r="E74" s="357">
        <f>+'Lead Budget'!E43+'Co-PI Budget (1)'!E43+'Co-PI Budget (2)'!E45+'Co-PI Budget (3)'!E45+'Co-PI Budget (4)'!E45+'Co-PI Budget (5)'!E45</f>
        <v>0</v>
      </c>
      <c r="F74" s="357">
        <f>+'Lead Budget'!F43+'Co-PI Budget (1)'!F43+'Co-PI Budget (2)'!F45+'Co-PI Budget (3)'!F45+'Co-PI Budget (4)'!F45+'Co-PI Budget (5)'!F45</f>
        <v>0</v>
      </c>
      <c r="G74" s="357">
        <f>+'Lead Budget'!G43+'Co-PI Budget (1)'!G43+'Co-PI Budget (2)'!G45+'Co-PI Budget (3)'!G45+'Co-PI Budget (4)'!G45+'Co-PI Budget (5)'!G45</f>
        <v>0</v>
      </c>
      <c r="H74" s="357">
        <f>+'Lead Budget'!H43+'Co-PI Budget (1)'!H43+'Co-PI Budget (2)'!H45+'Co-PI Budget (3)'!H45+'Co-PI Budget (4)'!H45+'Co-PI Budget (5)'!H45</f>
        <v>0</v>
      </c>
      <c r="I74" s="357">
        <f>+'Lead Budget'!I43+'Co-PI Budget (1)'!I43+'Co-PI Budget (2)'!I45+'Co-PI Budget (3)'!I45+'Co-PI Budget (4)'!I45+'Co-PI Budget (5)'!I45</f>
        <v>0</v>
      </c>
      <c r="J74" s="357">
        <f>+'Lead Budget'!J43+'Co-PI Budget (1)'!J43+'Co-PI Budget (2)'!J45+'Co-PI Budget (3)'!J45+'Co-PI Budget (4)'!J45+'Co-PI Budget (5)'!J45</f>
        <v>0</v>
      </c>
      <c r="K74" s="357">
        <f>+'Lead Budget'!K43+'Co-PI Budget (1)'!K43+'Co-PI Budget (2)'!K45+'Co-PI Budget (3)'!K45+'Co-PI Budget (4)'!K45+'Co-PI Budget (5)'!K45</f>
        <v>0</v>
      </c>
      <c r="L74" s="358">
        <f>SUM(B74:K74)</f>
        <v>0</v>
      </c>
      <c r="M74" s="382"/>
    </row>
    <row r="75" spans="1:16" x14ac:dyDescent="0.2">
      <c r="A75" s="3" t="s">
        <v>181</v>
      </c>
      <c r="B75" s="357">
        <f>+'Lead Budget'!B44+'Co-PI Budget (1)'!B44+'Co-PI Budget (2)'!B46+'Co-PI Budget (3)'!B46+'Co-PI Budget (4)'!B46+'Co-PI Budget (5)'!B46</f>
        <v>0</v>
      </c>
      <c r="C75" s="357">
        <f>+'Lead Budget'!C44+'Co-PI Budget (1)'!C44+'Co-PI Budget (2)'!C46+'Co-PI Budget (3)'!C46+'Co-PI Budget (4)'!C46+'Co-PI Budget (5)'!C46</f>
        <v>0</v>
      </c>
      <c r="D75" s="357">
        <f>+'Lead Budget'!D44+'Co-PI Budget (1)'!D44+'Co-PI Budget (2)'!D46+'Co-PI Budget (3)'!D46+'Co-PI Budget (4)'!D46+'Co-PI Budget (5)'!D46</f>
        <v>0</v>
      </c>
      <c r="E75" s="357">
        <f>+'Lead Budget'!E44+'Co-PI Budget (1)'!E44+'Co-PI Budget (2)'!E46+'Co-PI Budget (3)'!E46+'Co-PI Budget (4)'!E46+'Co-PI Budget (5)'!E46</f>
        <v>0</v>
      </c>
      <c r="F75" s="357">
        <f>+'Lead Budget'!F44+'Co-PI Budget (1)'!F44+'Co-PI Budget (2)'!F46+'Co-PI Budget (3)'!F46+'Co-PI Budget (4)'!F46+'Co-PI Budget (5)'!F46</f>
        <v>0</v>
      </c>
      <c r="G75" s="357">
        <f>+'Lead Budget'!G44+'Co-PI Budget (1)'!G44+'Co-PI Budget (2)'!G46+'Co-PI Budget (3)'!G46+'Co-PI Budget (4)'!G46+'Co-PI Budget (5)'!G46</f>
        <v>0</v>
      </c>
      <c r="H75" s="357">
        <f>+'Lead Budget'!H44+'Co-PI Budget (1)'!H44+'Co-PI Budget (2)'!H46+'Co-PI Budget (3)'!H46+'Co-PI Budget (4)'!H46+'Co-PI Budget (5)'!H46</f>
        <v>0</v>
      </c>
      <c r="I75" s="357">
        <f>+'Lead Budget'!I44+'Co-PI Budget (1)'!I44+'Co-PI Budget (2)'!I46+'Co-PI Budget (3)'!I46+'Co-PI Budget (4)'!I46+'Co-PI Budget (5)'!I46</f>
        <v>0</v>
      </c>
      <c r="J75" s="357">
        <f>+'Lead Budget'!J44+'Co-PI Budget (1)'!J44+'Co-PI Budget (2)'!J46+'Co-PI Budget (3)'!J46+'Co-PI Budget (4)'!J46+'Co-PI Budget (5)'!J46</f>
        <v>0</v>
      </c>
      <c r="K75" s="357">
        <f>+'Lead Budget'!K44+'Co-PI Budget (1)'!K44+'Co-PI Budget (2)'!K46+'Co-PI Budget (3)'!K46+'Co-PI Budget (4)'!K46+'Co-PI Budget (5)'!K46</f>
        <v>0</v>
      </c>
      <c r="L75" s="358">
        <f t="shared" ref="L75:L82" si="32">SUM(B75:K75)</f>
        <v>0</v>
      </c>
      <c r="M75" s="382"/>
    </row>
    <row r="76" spans="1:16" x14ac:dyDescent="0.2">
      <c r="A76" s="3" t="s">
        <v>240</v>
      </c>
      <c r="B76" s="357">
        <f>+'Lead Budget'!B45+'Co-PI Budget (1)'!B45+'Co-PI Budget (2)'!B47+'Co-PI Budget (3)'!B47+'Co-PI Budget (4)'!B47+'Co-PI Budget (5)'!B47</f>
        <v>0</v>
      </c>
      <c r="C76" s="357">
        <f>+'Lead Budget'!C45+'Co-PI Budget (1)'!C45+'Co-PI Budget (2)'!C47+'Co-PI Budget (3)'!C47+'Co-PI Budget (4)'!C47+'Co-PI Budget (5)'!C47</f>
        <v>0</v>
      </c>
      <c r="D76" s="357">
        <f>+'Lead Budget'!D45+'Co-PI Budget (1)'!D45+'Co-PI Budget (2)'!D47+'Co-PI Budget (3)'!D47+'Co-PI Budget (4)'!D47+'Co-PI Budget (5)'!D47</f>
        <v>0</v>
      </c>
      <c r="E76" s="357">
        <f>+'Lead Budget'!E45+'Co-PI Budget (1)'!E45+'Co-PI Budget (2)'!E47+'Co-PI Budget (3)'!E47+'Co-PI Budget (4)'!E47+'Co-PI Budget (5)'!E47</f>
        <v>0</v>
      </c>
      <c r="F76" s="357">
        <f>+'Lead Budget'!F45+'Co-PI Budget (1)'!F45+'Co-PI Budget (2)'!F47+'Co-PI Budget (3)'!F47+'Co-PI Budget (4)'!F47+'Co-PI Budget (5)'!F47</f>
        <v>0</v>
      </c>
      <c r="G76" s="357">
        <f>+'Lead Budget'!G45+'Co-PI Budget (1)'!G45+'Co-PI Budget (2)'!G47+'Co-PI Budget (3)'!G47+'Co-PI Budget (4)'!G47+'Co-PI Budget (5)'!G47</f>
        <v>0</v>
      </c>
      <c r="H76" s="357">
        <f>+'Lead Budget'!H45+'Co-PI Budget (1)'!H45+'Co-PI Budget (2)'!H47+'Co-PI Budget (3)'!H47+'Co-PI Budget (4)'!H47+'Co-PI Budget (5)'!H47</f>
        <v>0</v>
      </c>
      <c r="I76" s="357">
        <f>+'Lead Budget'!I45+'Co-PI Budget (1)'!I45+'Co-PI Budget (2)'!I47+'Co-PI Budget (3)'!I47+'Co-PI Budget (4)'!I47+'Co-PI Budget (5)'!I47</f>
        <v>0</v>
      </c>
      <c r="J76" s="357">
        <f>+'Lead Budget'!J45+'Co-PI Budget (1)'!J45+'Co-PI Budget (2)'!J47+'Co-PI Budget (3)'!J47+'Co-PI Budget (4)'!J47+'Co-PI Budget (5)'!J47</f>
        <v>0</v>
      </c>
      <c r="K76" s="357">
        <f>+'Lead Budget'!K45+'Co-PI Budget (1)'!K45+'Co-PI Budget (2)'!K47+'Co-PI Budget (3)'!K47+'Co-PI Budget (4)'!K47+'Co-PI Budget (5)'!K47</f>
        <v>0</v>
      </c>
      <c r="L76" s="358">
        <f t="shared" si="32"/>
        <v>0</v>
      </c>
      <c r="M76" s="382"/>
    </row>
    <row r="77" spans="1:16" x14ac:dyDescent="0.2">
      <c r="A77" s="3" t="s">
        <v>182</v>
      </c>
      <c r="B77" s="357">
        <f>+'Lead Budget'!B46+'Co-PI Budget (1)'!B46+'Co-PI Budget (2)'!B48+'Co-PI Budget (3)'!B48+'Co-PI Budget (4)'!B48+'Co-PI Budget (5)'!B48</f>
        <v>0</v>
      </c>
      <c r="C77" s="357">
        <f>+'Lead Budget'!C46+'Co-PI Budget (1)'!C46+'Co-PI Budget (2)'!C48+'Co-PI Budget (3)'!C48+'Co-PI Budget (4)'!C48+'Co-PI Budget (5)'!C48</f>
        <v>0</v>
      </c>
      <c r="D77" s="357">
        <f>+'Lead Budget'!D46+'Co-PI Budget (1)'!D46+'Co-PI Budget (2)'!D48+'Co-PI Budget (3)'!D48+'Co-PI Budget (4)'!D48+'Co-PI Budget (5)'!D48</f>
        <v>0</v>
      </c>
      <c r="E77" s="357">
        <f>+'Lead Budget'!E46+'Co-PI Budget (1)'!E46+'Co-PI Budget (2)'!E48+'Co-PI Budget (3)'!E48+'Co-PI Budget (4)'!E48+'Co-PI Budget (5)'!E48</f>
        <v>0</v>
      </c>
      <c r="F77" s="357">
        <f>+'Lead Budget'!F46+'Co-PI Budget (1)'!F46+'Co-PI Budget (2)'!F48+'Co-PI Budget (3)'!F48+'Co-PI Budget (4)'!F48+'Co-PI Budget (5)'!F48</f>
        <v>0</v>
      </c>
      <c r="G77" s="357">
        <f>+'Lead Budget'!G46+'Co-PI Budget (1)'!G46+'Co-PI Budget (2)'!G48+'Co-PI Budget (3)'!G48+'Co-PI Budget (4)'!G48+'Co-PI Budget (5)'!G48</f>
        <v>0</v>
      </c>
      <c r="H77" s="357">
        <f>+'Lead Budget'!H46+'Co-PI Budget (1)'!H46+'Co-PI Budget (2)'!H48+'Co-PI Budget (3)'!H48+'Co-PI Budget (4)'!H48+'Co-PI Budget (5)'!H48</f>
        <v>0</v>
      </c>
      <c r="I77" s="357">
        <f>+'Lead Budget'!I46+'Co-PI Budget (1)'!I46+'Co-PI Budget (2)'!I48+'Co-PI Budget (3)'!I48+'Co-PI Budget (4)'!I48+'Co-PI Budget (5)'!I48</f>
        <v>0</v>
      </c>
      <c r="J77" s="357">
        <f>+'Lead Budget'!J46+'Co-PI Budget (1)'!J46+'Co-PI Budget (2)'!J48+'Co-PI Budget (3)'!J48+'Co-PI Budget (4)'!J48+'Co-PI Budget (5)'!J48</f>
        <v>0</v>
      </c>
      <c r="K77" s="357">
        <f>+'Lead Budget'!K46+'Co-PI Budget (1)'!K46+'Co-PI Budget (2)'!K48+'Co-PI Budget (3)'!K48+'Co-PI Budget (4)'!K48+'Co-PI Budget (5)'!K48</f>
        <v>0</v>
      </c>
      <c r="L77" s="358">
        <f t="shared" si="32"/>
        <v>0</v>
      </c>
      <c r="M77" s="382"/>
    </row>
    <row r="78" spans="1:16" x14ac:dyDescent="0.2">
      <c r="A78" s="3" t="s">
        <v>41</v>
      </c>
      <c r="B78" s="357">
        <f>+'Lead Budget'!B47+'Co-PI Budget (1)'!B47+'Co-PI Budget (2)'!B49+'Co-PI Budget (3)'!B49+'Co-PI Budget (4)'!B49+'Co-PI Budget (5)'!B49</f>
        <v>0</v>
      </c>
      <c r="C78" s="357">
        <f>+'Lead Budget'!C47+'Co-PI Budget (1)'!C47+'Co-PI Budget (2)'!C49+'Co-PI Budget (3)'!C49+'Co-PI Budget (4)'!C49+'Co-PI Budget (5)'!C49</f>
        <v>0</v>
      </c>
      <c r="D78" s="357">
        <f>+'Lead Budget'!D47+'Co-PI Budget (1)'!D47+'Co-PI Budget (2)'!D49+'Co-PI Budget (3)'!D49+'Co-PI Budget (4)'!D49+'Co-PI Budget (5)'!D49</f>
        <v>0</v>
      </c>
      <c r="E78" s="357">
        <f>+'Lead Budget'!E47+'Co-PI Budget (1)'!E47+'Co-PI Budget (2)'!E49+'Co-PI Budget (3)'!E49+'Co-PI Budget (4)'!E49+'Co-PI Budget (5)'!E49</f>
        <v>0</v>
      </c>
      <c r="F78" s="357">
        <f>+'Lead Budget'!F47+'Co-PI Budget (1)'!F47+'Co-PI Budget (2)'!F49+'Co-PI Budget (3)'!F49+'Co-PI Budget (4)'!F49+'Co-PI Budget (5)'!F49</f>
        <v>0</v>
      </c>
      <c r="G78" s="357">
        <f>+'Lead Budget'!G47+'Co-PI Budget (1)'!G47+'Co-PI Budget (2)'!G49+'Co-PI Budget (3)'!G49+'Co-PI Budget (4)'!G49+'Co-PI Budget (5)'!G49</f>
        <v>0</v>
      </c>
      <c r="H78" s="357">
        <f>+'Lead Budget'!H47+'Co-PI Budget (1)'!H47+'Co-PI Budget (2)'!H49+'Co-PI Budget (3)'!H49+'Co-PI Budget (4)'!H49+'Co-PI Budget (5)'!H49</f>
        <v>0</v>
      </c>
      <c r="I78" s="357">
        <f>+'Lead Budget'!I47+'Co-PI Budget (1)'!I47+'Co-PI Budget (2)'!I49+'Co-PI Budget (3)'!I49+'Co-PI Budget (4)'!I49+'Co-PI Budget (5)'!I49</f>
        <v>0</v>
      </c>
      <c r="J78" s="357">
        <f>+'Lead Budget'!J47+'Co-PI Budget (1)'!J47+'Co-PI Budget (2)'!J49+'Co-PI Budget (3)'!J49+'Co-PI Budget (4)'!J49+'Co-PI Budget (5)'!J49</f>
        <v>0</v>
      </c>
      <c r="K78" s="357">
        <f>+'Lead Budget'!K47+'Co-PI Budget (1)'!K47+'Co-PI Budget (2)'!K49+'Co-PI Budget (3)'!K49+'Co-PI Budget (4)'!K49+'Co-PI Budget (5)'!K49</f>
        <v>0</v>
      </c>
      <c r="L78" s="358">
        <f t="shared" si="32"/>
        <v>0</v>
      </c>
      <c r="M78" s="382"/>
    </row>
    <row r="79" spans="1:16" x14ac:dyDescent="0.2">
      <c r="A79" s="3" t="s">
        <v>147</v>
      </c>
      <c r="B79" s="357">
        <f>'Lead Budget'!B48+'Co-PI Budget (1)'!B48+'Co-PI Budget (2)'!B50+'Co-PI Budget (3)'!B50+'Co-PI Budget (4)'!B50+'Co-PI Budget (5)'!B50</f>
        <v>0</v>
      </c>
      <c r="C79" s="357">
        <f>'Lead Budget'!C48+'Co-PI Budget (1)'!C48+'Co-PI Budget (2)'!C50+'Co-PI Budget (3)'!C50+'Co-PI Budget (4)'!C50+'Co-PI Budget (5)'!C50</f>
        <v>0</v>
      </c>
      <c r="D79" s="357">
        <f>'Lead Budget'!D48+'Co-PI Budget (1)'!D48+'Co-PI Budget (2)'!D50+'Co-PI Budget (3)'!D50+'Co-PI Budget (4)'!D50+'Co-PI Budget (5)'!D50</f>
        <v>0</v>
      </c>
      <c r="E79" s="357">
        <f>'Lead Budget'!E48+'Co-PI Budget (1)'!E48+'Co-PI Budget (2)'!E50+'Co-PI Budget (3)'!E50+'Co-PI Budget (4)'!E50+'Co-PI Budget (5)'!E50</f>
        <v>0</v>
      </c>
      <c r="F79" s="357">
        <f>'Lead Budget'!F48+'Co-PI Budget (1)'!F48+'Co-PI Budget (2)'!F50+'Co-PI Budget (3)'!F50+'Co-PI Budget (4)'!F50+'Co-PI Budget (5)'!F50</f>
        <v>0</v>
      </c>
      <c r="G79" s="357">
        <f>'Lead Budget'!G48+'Co-PI Budget (1)'!G48+'Co-PI Budget (2)'!G50+'Co-PI Budget (3)'!G50+'Co-PI Budget (4)'!G50+'Co-PI Budget (5)'!G50</f>
        <v>0</v>
      </c>
      <c r="H79" s="357">
        <f>'Lead Budget'!H48+'Co-PI Budget (1)'!H48+'Co-PI Budget (2)'!H50+'Co-PI Budget (3)'!H50+'Co-PI Budget (4)'!H50+'Co-PI Budget (5)'!H50</f>
        <v>0</v>
      </c>
      <c r="I79" s="357">
        <f>'Lead Budget'!I48+'Co-PI Budget (1)'!I48+'Co-PI Budget (2)'!I50+'Co-PI Budget (3)'!I50+'Co-PI Budget (4)'!I50+'Co-PI Budget (5)'!I50</f>
        <v>0</v>
      </c>
      <c r="J79" s="357">
        <f>'Lead Budget'!J48+'Co-PI Budget (1)'!J48+'Co-PI Budget (2)'!J50+'Co-PI Budget (3)'!J50+'Co-PI Budget (4)'!J50+'Co-PI Budget (5)'!J50</f>
        <v>0</v>
      </c>
      <c r="K79" s="357">
        <f>'Lead Budget'!K48+'Co-PI Budget (1)'!K48+'Co-PI Budget (2)'!K50+'Co-PI Budget (3)'!K50+'Co-PI Budget (4)'!K50+'Co-PI Budget (5)'!K50</f>
        <v>0</v>
      </c>
      <c r="L79" s="358">
        <f t="shared" si="32"/>
        <v>0</v>
      </c>
      <c r="M79" s="382"/>
    </row>
    <row r="80" spans="1:16" x14ac:dyDescent="0.2">
      <c r="A80" s="3" t="s">
        <v>146</v>
      </c>
      <c r="B80" s="357">
        <f>'Lead Budget'!B49+'Co-PI Budget (1)'!B49+'Co-PI Budget (2)'!B51+'Co-PI Budget (3)'!B51+'Co-PI Budget (4)'!B51+'Co-PI Budget (5)'!B51</f>
        <v>0</v>
      </c>
      <c r="C80" s="357">
        <f>'Lead Budget'!C49+'Co-PI Budget (1)'!C49+'Co-PI Budget (2)'!C51+'Co-PI Budget (3)'!C51+'Co-PI Budget (4)'!C51+'Co-PI Budget (5)'!C51</f>
        <v>0</v>
      </c>
      <c r="D80" s="357">
        <f>'Lead Budget'!D49+'Co-PI Budget (1)'!D49+'Co-PI Budget (2)'!D51+'Co-PI Budget (3)'!D51+'Co-PI Budget (4)'!D51+'Co-PI Budget (5)'!D51</f>
        <v>0</v>
      </c>
      <c r="E80" s="357">
        <f>'Lead Budget'!E49+'Co-PI Budget (1)'!E49+'Co-PI Budget (2)'!E51+'Co-PI Budget (3)'!E51+'Co-PI Budget (4)'!E51+'Co-PI Budget (5)'!E51</f>
        <v>0</v>
      </c>
      <c r="F80" s="357">
        <f>'Lead Budget'!F49+'Co-PI Budget (1)'!F49+'Co-PI Budget (2)'!F51+'Co-PI Budget (3)'!F51+'Co-PI Budget (4)'!F51+'Co-PI Budget (5)'!F51</f>
        <v>0</v>
      </c>
      <c r="G80" s="357">
        <f>'Lead Budget'!G49+'Co-PI Budget (1)'!G49+'Co-PI Budget (2)'!G51+'Co-PI Budget (3)'!G51+'Co-PI Budget (4)'!G51+'Co-PI Budget (5)'!G51</f>
        <v>0</v>
      </c>
      <c r="H80" s="357">
        <f>'Lead Budget'!H49+'Co-PI Budget (1)'!H49+'Co-PI Budget (2)'!H51+'Co-PI Budget (3)'!H51+'Co-PI Budget (4)'!H51+'Co-PI Budget (5)'!H51</f>
        <v>0</v>
      </c>
      <c r="I80" s="357">
        <f>'Lead Budget'!I49+'Co-PI Budget (1)'!I49+'Co-PI Budget (2)'!I51+'Co-PI Budget (3)'!I51+'Co-PI Budget (4)'!I51+'Co-PI Budget (5)'!I51</f>
        <v>0</v>
      </c>
      <c r="J80" s="357">
        <f>'Lead Budget'!J49+'Co-PI Budget (1)'!J49+'Co-PI Budget (2)'!J51+'Co-PI Budget (3)'!J51+'Co-PI Budget (4)'!J51+'Co-PI Budget (5)'!J51</f>
        <v>0</v>
      </c>
      <c r="K80" s="357">
        <f>'Lead Budget'!K49+'Co-PI Budget (1)'!K49+'Co-PI Budget (2)'!K51+'Co-PI Budget (3)'!K51+'Co-PI Budget (4)'!K51+'Co-PI Budget (5)'!K51</f>
        <v>0</v>
      </c>
      <c r="L80" s="358">
        <f t="shared" si="32"/>
        <v>0</v>
      </c>
      <c r="M80" s="382"/>
    </row>
    <row r="81" spans="1:16" x14ac:dyDescent="0.2">
      <c r="A81" s="3" t="s">
        <v>29</v>
      </c>
      <c r="B81" s="357">
        <f>+'Lead Budget'!B50+'Co-PI Budget (1)'!B50+'Co-PI Budget (2)'!B52+'Co-PI Budget (3)'!B52+'Co-PI Budget (4)'!B52+'Co-PI Budget (5)'!B52</f>
        <v>0</v>
      </c>
      <c r="C81" s="357">
        <f>+'Lead Budget'!C50+'Co-PI Budget (1)'!C50+'Co-PI Budget (2)'!C52+'Co-PI Budget (3)'!C52+'Co-PI Budget (4)'!C52+'Co-PI Budget (5)'!C52</f>
        <v>0</v>
      </c>
      <c r="D81" s="357">
        <f>+'Lead Budget'!D50+'Co-PI Budget (1)'!D50+'Co-PI Budget (2)'!D52+'Co-PI Budget (3)'!D52+'Co-PI Budget (4)'!D52+'Co-PI Budget (5)'!D52</f>
        <v>0</v>
      </c>
      <c r="E81" s="357">
        <f>+'Lead Budget'!E50+'Co-PI Budget (1)'!E50+'Co-PI Budget (2)'!E52+'Co-PI Budget (3)'!E52+'Co-PI Budget (4)'!E52+'Co-PI Budget (5)'!E52</f>
        <v>0</v>
      </c>
      <c r="F81" s="357">
        <f>+'Lead Budget'!F50+'Co-PI Budget (1)'!F50+'Co-PI Budget (2)'!F52+'Co-PI Budget (3)'!F52+'Co-PI Budget (4)'!F52+'Co-PI Budget (5)'!F52</f>
        <v>0</v>
      </c>
      <c r="G81" s="357">
        <f>+'Lead Budget'!G50+'Co-PI Budget (1)'!G50+'Co-PI Budget (2)'!G52+'Co-PI Budget (3)'!G52+'Co-PI Budget (4)'!G52+'Co-PI Budget (5)'!G52</f>
        <v>0</v>
      </c>
      <c r="H81" s="357">
        <f>+'Lead Budget'!H50+'Co-PI Budget (1)'!H50+'Co-PI Budget (2)'!H52+'Co-PI Budget (3)'!H52+'Co-PI Budget (4)'!H52+'Co-PI Budget (5)'!H52</f>
        <v>0</v>
      </c>
      <c r="I81" s="357">
        <f>+'Lead Budget'!I50+'Co-PI Budget (1)'!I50+'Co-PI Budget (2)'!I52+'Co-PI Budget (3)'!I52+'Co-PI Budget (4)'!I52+'Co-PI Budget (5)'!I52</f>
        <v>0</v>
      </c>
      <c r="J81" s="357">
        <f>+'Lead Budget'!J50+'Co-PI Budget (1)'!J50+'Co-PI Budget (2)'!J52+'Co-PI Budget (3)'!J52+'Co-PI Budget (4)'!J52+'Co-PI Budget (5)'!J52</f>
        <v>0</v>
      </c>
      <c r="K81" s="357">
        <f>+'Lead Budget'!K50+'Co-PI Budget (1)'!K50+'Co-PI Budget (2)'!K52+'Co-PI Budget (3)'!K52+'Co-PI Budget (4)'!K52+'Co-PI Budget (5)'!K52</f>
        <v>0</v>
      </c>
      <c r="L81" s="358">
        <f t="shared" si="32"/>
        <v>0</v>
      </c>
      <c r="M81" s="382"/>
    </row>
    <row r="82" spans="1:16" x14ac:dyDescent="0.2">
      <c r="A82" s="3" t="s">
        <v>29</v>
      </c>
      <c r="B82" s="357">
        <f>+'Lead Budget'!B51+'Co-PI Budget (1)'!B51+'Co-PI Budget (2)'!B53+'Co-PI Budget (3)'!B53+'Co-PI Budget (4)'!B53+'Co-PI Budget (5)'!B53</f>
        <v>0</v>
      </c>
      <c r="C82" s="357">
        <f>+'Lead Budget'!C51+'Co-PI Budget (1)'!C51+'Co-PI Budget (2)'!C53+'Co-PI Budget (3)'!C53+'Co-PI Budget (4)'!C53+'Co-PI Budget (5)'!C53</f>
        <v>0</v>
      </c>
      <c r="D82" s="357">
        <f>+'Lead Budget'!D51+'Co-PI Budget (1)'!D51+'Co-PI Budget (2)'!D53+'Co-PI Budget (3)'!D53+'Co-PI Budget (4)'!D53+'Co-PI Budget (5)'!D53</f>
        <v>0</v>
      </c>
      <c r="E82" s="357">
        <f>+'Lead Budget'!E51+'Co-PI Budget (1)'!E51+'Co-PI Budget (2)'!E53+'Co-PI Budget (3)'!E53+'Co-PI Budget (4)'!E53+'Co-PI Budget (5)'!E53</f>
        <v>0</v>
      </c>
      <c r="F82" s="357">
        <f>+'Lead Budget'!F51+'Co-PI Budget (1)'!F51+'Co-PI Budget (2)'!F53+'Co-PI Budget (3)'!F53+'Co-PI Budget (4)'!F53+'Co-PI Budget (5)'!F53</f>
        <v>0</v>
      </c>
      <c r="G82" s="357">
        <f>+'Lead Budget'!G51+'Co-PI Budget (1)'!G51+'Co-PI Budget (2)'!G53+'Co-PI Budget (3)'!G53+'Co-PI Budget (4)'!G53+'Co-PI Budget (5)'!G53</f>
        <v>0</v>
      </c>
      <c r="H82" s="357">
        <f>+'Lead Budget'!H51+'Co-PI Budget (1)'!H51+'Co-PI Budget (2)'!H53+'Co-PI Budget (3)'!H53+'Co-PI Budget (4)'!H53+'Co-PI Budget (5)'!H53</f>
        <v>0</v>
      </c>
      <c r="I82" s="357">
        <f>+'Lead Budget'!I51+'Co-PI Budget (1)'!I51+'Co-PI Budget (2)'!I53+'Co-PI Budget (3)'!I53+'Co-PI Budget (4)'!I53+'Co-PI Budget (5)'!I53</f>
        <v>0</v>
      </c>
      <c r="J82" s="357">
        <f>+'Lead Budget'!J51+'Co-PI Budget (1)'!J51+'Co-PI Budget (2)'!J53+'Co-PI Budget (3)'!J53+'Co-PI Budget (4)'!J53+'Co-PI Budget (5)'!J53</f>
        <v>0</v>
      </c>
      <c r="K82" s="357">
        <f>+'Lead Budget'!K51+'Co-PI Budget (1)'!K51+'Co-PI Budget (2)'!K53+'Co-PI Budget (3)'!K53+'Co-PI Budget (4)'!K53+'Co-PI Budget (5)'!K53</f>
        <v>0</v>
      </c>
      <c r="L82" s="358">
        <f t="shared" si="32"/>
        <v>0</v>
      </c>
      <c r="M82" s="382"/>
    </row>
    <row r="83" spans="1:16" ht="12" thickBot="1" x14ac:dyDescent="0.25">
      <c r="A83" s="76" t="str">
        <f>CONCATENATE("Total ",A73)</f>
        <v>Total Other Direct Costs</v>
      </c>
      <c r="B83" s="359">
        <f>SUM(B73:B82)</f>
        <v>0</v>
      </c>
      <c r="C83" s="359">
        <f t="shared" ref="C83:L83" si="33">SUM(C73:C82)</f>
        <v>0</v>
      </c>
      <c r="D83" s="359">
        <f t="shared" si="33"/>
        <v>0</v>
      </c>
      <c r="E83" s="359">
        <f t="shared" si="33"/>
        <v>0</v>
      </c>
      <c r="F83" s="359">
        <f t="shared" si="33"/>
        <v>0</v>
      </c>
      <c r="G83" s="359">
        <f t="shared" ref="G83:K83" si="34">SUM(G73:G82)</f>
        <v>0</v>
      </c>
      <c r="H83" s="359">
        <f t="shared" si="34"/>
        <v>0</v>
      </c>
      <c r="I83" s="359">
        <f t="shared" si="34"/>
        <v>0</v>
      </c>
      <c r="J83" s="359">
        <f t="shared" si="34"/>
        <v>0</v>
      </c>
      <c r="K83" s="359">
        <f t="shared" si="34"/>
        <v>0</v>
      </c>
      <c r="L83" s="360">
        <f t="shared" si="33"/>
        <v>0</v>
      </c>
      <c r="M83" s="382"/>
    </row>
    <row r="84" spans="1:16" ht="12" thickBot="1" x14ac:dyDescent="0.25">
      <c r="A84" s="365" t="s">
        <v>16</v>
      </c>
      <c r="B84" s="366">
        <f t="shared" ref="B84:L84" si="35">SUM(B26+B33+B57+B61+B65+B72+B83)</f>
        <v>0</v>
      </c>
      <c r="C84" s="367">
        <f t="shared" si="35"/>
        <v>0</v>
      </c>
      <c r="D84" s="367">
        <f t="shared" si="35"/>
        <v>0</v>
      </c>
      <c r="E84" s="367">
        <f t="shared" si="35"/>
        <v>0</v>
      </c>
      <c r="F84" s="367">
        <f t="shared" si="35"/>
        <v>0</v>
      </c>
      <c r="G84" s="367">
        <f t="shared" ref="G84:K84" si="36">SUM(G26+G33+G57+G61+G65+G72+G83)</f>
        <v>0</v>
      </c>
      <c r="H84" s="367">
        <f t="shared" si="36"/>
        <v>0</v>
      </c>
      <c r="I84" s="367">
        <f t="shared" si="36"/>
        <v>0</v>
      </c>
      <c r="J84" s="367">
        <f t="shared" si="36"/>
        <v>0</v>
      </c>
      <c r="K84" s="367">
        <f t="shared" si="36"/>
        <v>0</v>
      </c>
      <c r="L84" s="368">
        <f t="shared" si="35"/>
        <v>0</v>
      </c>
      <c r="M84" s="382"/>
    </row>
    <row r="85" spans="1:16" ht="12" thickBot="1" x14ac:dyDescent="0.25">
      <c r="A85" s="71" t="s">
        <v>138</v>
      </c>
      <c r="B85" s="369">
        <f>IF(AND('rates, dates, etc'!$B$31="Contract College",'rates, dates, etc'!$B$32="On"),'Lead Budget'!B54,0)+IF(AND('rates, dates, etc'!$B$112="Contract College",'rates, dates, etc'!$B$113="On"),'Co-PI Budget (1)'!B54,0)+IF(AND('rates, dates, etc'!$B$193="Contract College",'rates, dates, etc'!$B$194="On"),'Co-PI Budget (2)'!B56,0)+IF(AND('rates, dates, etc'!$B$274="Contract College",'rates, dates, etc'!$B$275="On"),'Co-PI Budget (3)'!B56,0)+IF(AND('rates, dates, etc'!$B$355="Contract College",'rates, dates, etc'!$B$356="On"),'Co-PI Budget (4)'!B56,0)+IF(AND('rates, dates, etc'!$B$436="Contract College",'rates, dates, etc'!$B$437="On"),'Co-PI Budget (5)'!B56,0)</f>
        <v>0</v>
      </c>
      <c r="C85" s="369">
        <f>IF(AND('rates, dates, etc'!$B$31="Contract College",'rates, dates, etc'!$B$32="On"),'Lead Budget'!C54,0)+IF(AND('rates, dates, etc'!$B$112="Contract College",'rates, dates, etc'!$B$113="On"),'Co-PI Budget (1)'!C54,0)+IF(AND('rates, dates, etc'!$B$193="Contract College",'rates, dates, etc'!$B$194="On"),'Co-PI Budget (2)'!C56,0)+IF(AND('rates, dates, etc'!$B$274="Contract College",'rates, dates, etc'!$B$275="On"),'Co-PI Budget (3)'!C56,0)+IF(AND('rates, dates, etc'!$B$355="Contract College",'rates, dates, etc'!$B$356="On"),'Co-PI Budget (4)'!C56,0)+IF(AND('rates, dates, etc'!$B$436="Contract College",'rates, dates, etc'!$B$437="On"),'Co-PI Budget (5)'!C56,0)</f>
        <v>0</v>
      </c>
      <c r="D85" s="369">
        <f>IF(AND('rates, dates, etc'!$B$31="Contract College",'rates, dates, etc'!$B$32="On"),'Lead Budget'!D54,0)+IF(AND('rates, dates, etc'!$B$112="Contract College",'rates, dates, etc'!$B$113="On"),'Co-PI Budget (1)'!D54,0)+IF(AND('rates, dates, etc'!$B$193="Contract College",'rates, dates, etc'!$B$194="On"),'Co-PI Budget (2)'!D56,0)+IF(AND('rates, dates, etc'!$B$274="Contract College",'rates, dates, etc'!$B$275="On"),'Co-PI Budget (3)'!D56,0)+IF(AND('rates, dates, etc'!$B$355="Contract College",'rates, dates, etc'!$B$356="On"),'Co-PI Budget (4)'!D56,0)+IF(AND('rates, dates, etc'!$B$436="Contract College",'rates, dates, etc'!$B$437="On"),'Co-PI Budget (5)'!D56,0)</f>
        <v>0</v>
      </c>
      <c r="E85" s="369">
        <f>IF(AND('rates, dates, etc'!$B$31="Contract College",'rates, dates, etc'!$B$32="On"),'Lead Budget'!E54,0)+IF(AND('rates, dates, etc'!$B$112="Contract College",'rates, dates, etc'!$B$113="On"),'Co-PI Budget (1)'!E54,0)+IF(AND('rates, dates, etc'!$B$193="Contract College",'rates, dates, etc'!$B$194="On"),'Co-PI Budget (2)'!E56,0)+IF(AND('rates, dates, etc'!$B$274="Contract College",'rates, dates, etc'!$B$275="On"),'Co-PI Budget (3)'!E56,0)+IF(AND('rates, dates, etc'!$B$355="Contract College",'rates, dates, etc'!$B$356="On"),'Co-PI Budget (4)'!E56,0)+IF(AND('rates, dates, etc'!$B$436="Contract College",'rates, dates, etc'!$B$437="On"),'Co-PI Budget (5)'!E56,0)</f>
        <v>0</v>
      </c>
      <c r="F85" s="369">
        <f>IF(AND('rates, dates, etc'!$B$31="Contract College",'rates, dates, etc'!$B$32="On"),'Lead Budget'!F54,0)+IF(AND('rates, dates, etc'!$B$112="Contract College",'rates, dates, etc'!$B$113="On"),'Co-PI Budget (1)'!F54,0)+IF(AND('rates, dates, etc'!$B$193="Contract College",'rates, dates, etc'!$B$194="On"),'Co-PI Budget (2)'!F56,0)+IF(AND('rates, dates, etc'!$B$274="Contract College",'rates, dates, etc'!$B$275="On"),'Co-PI Budget (3)'!F56,0)+IF(AND('rates, dates, etc'!$B$355="Contract College",'rates, dates, etc'!$B$356="On"),'Co-PI Budget (4)'!F56,0)+IF(AND('rates, dates, etc'!$B$436="Contract College",'rates, dates, etc'!$B$437="On"),'Co-PI Budget (5)'!F56,0)</f>
        <v>0</v>
      </c>
      <c r="G85" s="369">
        <f>IF(AND('rates, dates, etc'!$B$31="Contract College",'rates, dates, etc'!$B$32="On"),'Lead Budget'!G54,0)+IF(AND('rates, dates, etc'!$B$112="Contract College",'rates, dates, etc'!$B$113="On"),'Co-PI Budget (1)'!G54,0)+IF(AND('rates, dates, etc'!$B$193="Contract College",'rates, dates, etc'!$B$194="On"),'Co-PI Budget (2)'!G56,0)+IF(AND('rates, dates, etc'!$B$274="Contract College",'rates, dates, etc'!$B$275="On"),'Co-PI Budget (3)'!G56,0)+IF(AND('rates, dates, etc'!$B$355="Contract College",'rates, dates, etc'!$B$356="On"),'Co-PI Budget (4)'!G56,0)+IF(AND('rates, dates, etc'!$B$436="Contract College",'rates, dates, etc'!$B$437="On"),'Co-PI Budget (5)'!G56,0)</f>
        <v>0</v>
      </c>
      <c r="H85" s="369">
        <f>IF(AND('rates, dates, etc'!$B$31="Contract College",'rates, dates, etc'!$B$32="On"),'Lead Budget'!H54,0)+IF(AND('rates, dates, etc'!$B$112="Contract College",'rates, dates, etc'!$B$113="On"),'Co-PI Budget (1)'!H54,0)+IF(AND('rates, dates, etc'!$B$193="Contract College",'rates, dates, etc'!$B$194="On"),'Co-PI Budget (2)'!H56,0)+IF(AND('rates, dates, etc'!$B$274="Contract College",'rates, dates, etc'!$B$275="On"),'Co-PI Budget (3)'!H56,0)+IF(AND('rates, dates, etc'!$B$355="Contract College",'rates, dates, etc'!$B$356="On"),'Co-PI Budget (4)'!H56,0)+IF(AND('rates, dates, etc'!$B$436="Contract College",'rates, dates, etc'!$B$437="On"),'Co-PI Budget (5)'!H56,0)</f>
        <v>0</v>
      </c>
      <c r="I85" s="369">
        <f>IF(AND('rates, dates, etc'!$B$31="Contract College",'rates, dates, etc'!$B$32="On"),'Lead Budget'!I54,0)+IF(AND('rates, dates, etc'!$B$112="Contract College",'rates, dates, etc'!$B$113="On"),'Co-PI Budget (1)'!I54,0)+IF(AND('rates, dates, etc'!$B$193="Contract College",'rates, dates, etc'!$B$194="On"),'Co-PI Budget (2)'!I56,0)+IF(AND('rates, dates, etc'!$B$274="Contract College",'rates, dates, etc'!$B$275="On"),'Co-PI Budget (3)'!I56,0)+IF(AND('rates, dates, etc'!$B$355="Contract College",'rates, dates, etc'!$B$356="On"),'Co-PI Budget (4)'!I56,0)+IF(AND('rates, dates, etc'!$B$436="Contract College",'rates, dates, etc'!$B$437="On"),'Co-PI Budget (5)'!I56,0)</f>
        <v>0</v>
      </c>
      <c r="J85" s="369">
        <f>IF(AND('rates, dates, etc'!$B$31="Contract College",'rates, dates, etc'!$B$32="On"),'Lead Budget'!J54,0)+IF(AND('rates, dates, etc'!$B$112="Contract College",'rates, dates, etc'!$B$113="On"),'Co-PI Budget (1)'!J54,0)+IF(AND('rates, dates, etc'!$B$193="Contract College",'rates, dates, etc'!$B$194="On"),'Co-PI Budget (2)'!J56,0)+IF(AND('rates, dates, etc'!$B$274="Contract College",'rates, dates, etc'!$B$275="On"),'Co-PI Budget (3)'!J56,0)+IF(AND('rates, dates, etc'!$B$355="Contract College",'rates, dates, etc'!$B$356="On"),'Co-PI Budget (4)'!J56,0)+IF(AND('rates, dates, etc'!$B$436="Contract College",'rates, dates, etc'!$B$437="On"),'Co-PI Budget (5)'!J56,0)</f>
        <v>0</v>
      </c>
      <c r="K85" s="369">
        <f>IF(AND('rates, dates, etc'!$B$31="Contract College",'rates, dates, etc'!$B$32="On"),'Lead Budget'!K54,0)+IF(AND('rates, dates, etc'!$B$112="Contract College",'rates, dates, etc'!$B$113="On"),'Co-PI Budget (1)'!K54,0)+IF(AND('rates, dates, etc'!$B$193="Contract College",'rates, dates, etc'!$B$194="On"),'Co-PI Budget (2)'!K56,0)+IF(AND('rates, dates, etc'!$B$274="Contract College",'rates, dates, etc'!$B$275="On"),'Co-PI Budget (3)'!K56,0)+IF(AND('rates, dates, etc'!$B$355="Contract College",'rates, dates, etc'!$B$356="On"),'Co-PI Budget (4)'!K56,0)+IF(AND('rates, dates, etc'!$B$436="Contract College",'rates, dates, etc'!$B$437="On"),'Co-PI Budget (5)'!K56,0)</f>
        <v>0</v>
      </c>
      <c r="L85" s="370">
        <f t="shared" ref="L85:L91" si="37">SUM(B85:K85)</f>
        <v>0</v>
      </c>
      <c r="M85" s="382"/>
    </row>
    <row r="86" spans="1:16" ht="12" thickBot="1" x14ac:dyDescent="0.25">
      <c r="A86" s="71" t="s">
        <v>139</v>
      </c>
      <c r="B86" s="369">
        <f>IF(AND('rates, dates, etc'!$B$31="Contract College",'rates, dates, etc'!$B$32="Off"),'Lead Budget'!B54,0)+IF(AND('rates, dates, etc'!$B$112="Contract College",'rates, dates, etc'!$B$113="Off"),'Co-PI Budget (1)'!B54,0)+IF(AND('rates, dates, etc'!$B$193="Contract College",'rates, dates, etc'!$B$194="Off"),'Co-PI Budget (2)'!B56,0)+IF(AND('rates, dates, etc'!$B$274="Contract College",'rates, dates, etc'!$B$275="Off"),'Co-PI Budget (3)'!B56,0)+IF(AND('rates, dates, etc'!$B$355="Contract College",'rates, dates, etc'!$B$356="Off"),'Co-PI Budget (4)'!B56,0)+IF(AND('rates, dates, etc'!$B$436="Contract College",'rates, dates, etc'!$B$437="Off"),'Co-PI Budget (5)'!B56,0)</f>
        <v>0</v>
      </c>
      <c r="C86" s="369">
        <f>IF(AND('rates, dates, etc'!$B$31="Contract College",'rates, dates, etc'!$B$32="Off"),'Lead Budget'!C54,0)+IF(AND('rates, dates, etc'!$B$112="Contract College",'rates, dates, etc'!$B$113="Off"),'Co-PI Budget (1)'!C54,0)+IF(AND('rates, dates, etc'!$B$193="Contract College",'rates, dates, etc'!$B$194="Off"),'Co-PI Budget (2)'!C56,0)+IF(AND('rates, dates, etc'!$B$274="Contract College",'rates, dates, etc'!$B$275="Off"),'Co-PI Budget (3)'!C56,0)+IF(AND('rates, dates, etc'!$B$355="Contract College",'rates, dates, etc'!$B$356="Off"),'Co-PI Budget (4)'!C56,0)+IF(AND('rates, dates, etc'!$B$436="Contract College",'rates, dates, etc'!$B$437="Off"),'Co-PI Budget (5)'!C56,0)</f>
        <v>0</v>
      </c>
      <c r="D86" s="369">
        <f>IF(AND('rates, dates, etc'!$B$31="Contract College",'rates, dates, etc'!$B$32="Off"),'Lead Budget'!D54,0)+IF(AND('rates, dates, etc'!$B$112="Contract College",'rates, dates, etc'!$B$113="Off"),'Co-PI Budget (1)'!D54,0)+IF(AND('rates, dates, etc'!$B$193="Contract College",'rates, dates, etc'!$B$194="Off"),'Co-PI Budget (2)'!D56,0)+IF(AND('rates, dates, etc'!$B$274="Contract College",'rates, dates, etc'!$B$275="Off"),'Co-PI Budget (3)'!D56,0)+IF(AND('rates, dates, etc'!$B$355="Contract College",'rates, dates, etc'!$B$356="Off"),'Co-PI Budget (4)'!D56,0)+IF(AND('rates, dates, etc'!$B$436="Contract College",'rates, dates, etc'!$B$437="Off"),'Co-PI Budget (5)'!D56,0)</f>
        <v>0</v>
      </c>
      <c r="E86" s="369">
        <f>IF(AND('rates, dates, etc'!$B$31="Contract College",'rates, dates, etc'!$B$32="Off"),'Lead Budget'!E54,0)+IF(AND('rates, dates, etc'!$B$112="Contract College",'rates, dates, etc'!$B$113="Off"),'Co-PI Budget (1)'!E54,0)+IF(AND('rates, dates, etc'!$B$193="Contract College",'rates, dates, etc'!$B$194="Off"),'Co-PI Budget (2)'!E56,0)+IF(AND('rates, dates, etc'!$B$274="Contract College",'rates, dates, etc'!$B$275="Off"),'Co-PI Budget (3)'!E56,0)+IF(AND('rates, dates, etc'!$B$355="Contract College",'rates, dates, etc'!$B$356="Off"),'Co-PI Budget (4)'!E56,0)+IF(AND('rates, dates, etc'!$B$436="Contract College",'rates, dates, etc'!$B$437="Off"),'Co-PI Budget (5)'!E56,0)</f>
        <v>0</v>
      </c>
      <c r="F86" s="369">
        <f>IF(AND('rates, dates, etc'!$B$31="Contract College",'rates, dates, etc'!$B$32="Off"),'Lead Budget'!F54,0)+IF(AND('rates, dates, etc'!$B$112="Contract College",'rates, dates, etc'!$B$113="Off"),'Co-PI Budget (1)'!F54,0)+IF(AND('rates, dates, etc'!$B$193="Contract College",'rates, dates, etc'!$B$194="Off"),'Co-PI Budget (2)'!F56,0)+IF(AND('rates, dates, etc'!$B$274="Contract College",'rates, dates, etc'!$B$275="Off"),'Co-PI Budget (3)'!F56,0)+IF(AND('rates, dates, etc'!$B$355="Contract College",'rates, dates, etc'!$B$356="Off"),'Co-PI Budget (4)'!F56,0)+IF(AND('rates, dates, etc'!$B$436="Contract College",'rates, dates, etc'!$B$437="Off"),'Co-PI Budget (5)'!F56,0)</f>
        <v>0</v>
      </c>
      <c r="G86" s="369">
        <f>IF(AND('rates, dates, etc'!$B$31="Contract College",'rates, dates, etc'!$B$32="Off"),'Lead Budget'!G54,0)+IF(AND('rates, dates, etc'!$B$112="Contract College",'rates, dates, etc'!$B$113="Off"),'Co-PI Budget (1)'!G54,0)+IF(AND('rates, dates, etc'!$B$193="Contract College",'rates, dates, etc'!$B$194="Off"),'Co-PI Budget (2)'!G56,0)+IF(AND('rates, dates, etc'!$B$274="Contract College",'rates, dates, etc'!$B$275="Off"),'Co-PI Budget (3)'!G56,0)+IF(AND('rates, dates, etc'!$B$355="Contract College",'rates, dates, etc'!$B$356="Off"),'Co-PI Budget (4)'!G56,0)+IF(AND('rates, dates, etc'!$B$436="Contract College",'rates, dates, etc'!$B$437="Off"),'Co-PI Budget (5)'!G56,0)</f>
        <v>0</v>
      </c>
      <c r="H86" s="369">
        <f>IF(AND('rates, dates, etc'!$B$31="Contract College",'rates, dates, etc'!$B$32="Off"),'Lead Budget'!H54,0)+IF(AND('rates, dates, etc'!$B$112="Contract College",'rates, dates, etc'!$B$113="Off"),'Co-PI Budget (1)'!H54,0)+IF(AND('rates, dates, etc'!$B$193="Contract College",'rates, dates, etc'!$B$194="Off"),'Co-PI Budget (2)'!H56,0)+IF(AND('rates, dates, etc'!$B$274="Contract College",'rates, dates, etc'!$B$275="Off"),'Co-PI Budget (3)'!H56,0)+IF(AND('rates, dates, etc'!$B$355="Contract College",'rates, dates, etc'!$B$356="Off"),'Co-PI Budget (4)'!H56,0)+IF(AND('rates, dates, etc'!$B$436="Contract College",'rates, dates, etc'!$B$437="Off"),'Co-PI Budget (5)'!H56,0)</f>
        <v>0</v>
      </c>
      <c r="I86" s="369">
        <f>IF(AND('rates, dates, etc'!$B$31="Contract College",'rates, dates, etc'!$B$32="Off"),'Lead Budget'!I54,0)+IF(AND('rates, dates, etc'!$B$112="Contract College",'rates, dates, etc'!$B$113="Off"),'Co-PI Budget (1)'!I54,0)+IF(AND('rates, dates, etc'!$B$193="Contract College",'rates, dates, etc'!$B$194="Off"),'Co-PI Budget (2)'!I56,0)+IF(AND('rates, dates, etc'!$B$274="Contract College",'rates, dates, etc'!$B$275="Off"),'Co-PI Budget (3)'!I56,0)+IF(AND('rates, dates, etc'!$B$355="Contract College",'rates, dates, etc'!$B$356="Off"),'Co-PI Budget (4)'!I56,0)+IF(AND('rates, dates, etc'!$B$436="Contract College",'rates, dates, etc'!$B$437="Off"),'Co-PI Budget (5)'!I56,0)</f>
        <v>0</v>
      </c>
      <c r="J86" s="369">
        <f>IF(AND('rates, dates, etc'!$B$31="Contract College",'rates, dates, etc'!$B$32="Off"),'Lead Budget'!J54,0)+IF(AND('rates, dates, etc'!$B$112="Contract College",'rates, dates, etc'!$B$113="Off"),'Co-PI Budget (1)'!J54,0)+IF(AND('rates, dates, etc'!$B$193="Contract College",'rates, dates, etc'!$B$194="Off"),'Co-PI Budget (2)'!J56,0)+IF(AND('rates, dates, etc'!$B$274="Contract College",'rates, dates, etc'!$B$275="Off"),'Co-PI Budget (3)'!J56,0)+IF(AND('rates, dates, etc'!$B$355="Contract College",'rates, dates, etc'!$B$356="Off"),'Co-PI Budget (4)'!J56,0)+IF(AND('rates, dates, etc'!$B$436="Contract College",'rates, dates, etc'!$B$437="Off"),'Co-PI Budget (5)'!J56,0)</f>
        <v>0</v>
      </c>
      <c r="K86" s="369">
        <f>IF(AND('rates, dates, etc'!$B$31="Contract College",'rates, dates, etc'!$B$32="Off"),'Lead Budget'!K54,0)+IF(AND('rates, dates, etc'!$B$112="Contract College",'rates, dates, etc'!$B$113="Off"),'Co-PI Budget (1)'!K54,0)+IF(AND('rates, dates, etc'!$B$193="Contract College",'rates, dates, etc'!$B$194="Off"),'Co-PI Budget (2)'!K56,0)+IF(AND('rates, dates, etc'!$B$274="Contract College",'rates, dates, etc'!$B$275="Off"),'Co-PI Budget (3)'!K56,0)+IF(AND('rates, dates, etc'!$B$355="Contract College",'rates, dates, etc'!$B$356="Off"),'Co-PI Budget (4)'!K56,0)+IF(AND('rates, dates, etc'!$B$436="Contract College",'rates, dates, etc'!$B$437="Off"),'Co-PI Budget (5)'!K56,0)</f>
        <v>0</v>
      </c>
      <c r="L86" s="370">
        <f t="shared" si="37"/>
        <v>0</v>
      </c>
      <c r="M86" s="382"/>
    </row>
    <row r="87" spans="1:16" ht="12" thickBot="1" x14ac:dyDescent="0.25">
      <c r="A87" s="71" t="s">
        <v>141</v>
      </c>
      <c r="B87" s="369">
        <f>IF(AND('rates, dates, etc'!$B$31="Endowed College",'rates, dates, etc'!$B$32="On"),'Lead Budget'!B54,0)+IF(AND('rates, dates, etc'!$B$112="Endowed College",'rates, dates, etc'!$B$113="On"),'Co-PI Budget (1)'!B54,0)+IF(AND('rates, dates, etc'!$B$193="Endowed College",'rates, dates, etc'!$B$194="On"),'Co-PI Budget (2)'!B56,0)+IF(AND('rates, dates, etc'!$B$274="Endowed College",'rates, dates, etc'!$B$275="On"),'Co-PI Budget (3)'!B56,0)+IF(AND('rates, dates, etc'!$B$355="Endowed College",'rates, dates, etc'!$B$356="On"),'Co-PI Budget (4)'!B56,0)+IF(AND('rates, dates, etc'!$B$436="Endowed College",'rates, dates, etc'!$B$437="On"),'Co-PI Budget (5)'!B56,0)</f>
        <v>0</v>
      </c>
      <c r="C87" s="369">
        <f>IF(AND('rates, dates, etc'!$B$31="Endowed College",'rates, dates, etc'!$B$32="On"),'Lead Budget'!C54,0)+IF(AND('rates, dates, etc'!$B$112="Endowed College",'rates, dates, etc'!$B$113="On"),'Co-PI Budget (1)'!C54,0)+IF(AND('rates, dates, etc'!$B$193="Endowed College",'rates, dates, etc'!$B$194="On"),'Co-PI Budget (2)'!C56,0)+IF(AND('rates, dates, etc'!$B$274="Endowed College",'rates, dates, etc'!$B$275="On"),'Co-PI Budget (3)'!C56,0)+IF(AND('rates, dates, etc'!$B$355="Endowed College",'rates, dates, etc'!$B$356="On"),'Co-PI Budget (4)'!C56,0)+IF(AND('rates, dates, etc'!$B$436="Endowed College",'rates, dates, etc'!$B$437="On"),'Co-PI Budget (5)'!C56,0)</f>
        <v>0</v>
      </c>
      <c r="D87" s="369">
        <f>IF(AND('rates, dates, etc'!$B$31="Endowed College",'rates, dates, etc'!$B$32="On"),'Lead Budget'!D54,0)+IF(AND('rates, dates, etc'!$B$112="Endowed College",'rates, dates, etc'!$B$113="On"),'Co-PI Budget (1)'!D54,0)+IF(AND('rates, dates, etc'!$B$193="Endowed College",'rates, dates, etc'!$B$194="On"),'Co-PI Budget (2)'!D56,0)+IF(AND('rates, dates, etc'!$B$274="Endowed College",'rates, dates, etc'!$B$275="On"),'Co-PI Budget (3)'!D56,0)+IF(AND('rates, dates, etc'!$B$355="Endowed College",'rates, dates, etc'!$B$356="On"),'Co-PI Budget (4)'!D56,0)+IF(AND('rates, dates, etc'!$B$436="Endowed College",'rates, dates, etc'!$B$437="On"),'Co-PI Budget (5)'!D56,0)</f>
        <v>0</v>
      </c>
      <c r="E87" s="369">
        <f>IF(AND('rates, dates, etc'!$B$31="Endowed College",'rates, dates, etc'!$B$32="On"),'Lead Budget'!E54,0)+IF(AND('rates, dates, etc'!$B$112="Endowed College",'rates, dates, etc'!$B$113="On"),'Co-PI Budget (1)'!E54,0)+IF(AND('rates, dates, etc'!$B$193="Endowed College",'rates, dates, etc'!$B$194="On"),'Co-PI Budget (2)'!E56,0)+IF(AND('rates, dates, etc'!$B$274="Endowed College",'rates, dates, etc'!$B$275="On"),'Co-PI Budget (3)'!E56,0)+IF(AND('rates, dates, etc'!$B$355="Endowed College",'rates, dates, etc'!$B$356="On"),'Co-PI Budget (4)'!E56,0)+IF(AND('rates, dates, etc'!$B$436="Endowed College",'rates, dates, etc'!$B$437="On"),'Co-PI Budget (5)'!E56,0)</f>
        <v>0</v>
      </c>
      <c r="F87" s="369">
        <f>IF(AND('rates, dates, etc'!$B$31="Endowed College",'rates, dates, etc'!$B$32="On"),'Lead Budget'!F54,0)+IF(AND('rates, dates, etc'!$B$112="Endowed College",'rates, dates, etc'!$B$113="On"),'Co-PI Budget (1)'!F54,0)+IF(AND('rates, dates, etc'!$B$193="Endowed College",'rates, dates, etc'!$B$194="On"),'Co-PI Budget (2)'!F56,0)+IF(AND('rates, dates, etc'!$B$274="Endowed College",'rates, dates, etc'!$B$275="On"),'Co-PI Budget (3)'!F56,0)+IF(AND('rates, dates, etc'!$B$355="Endowed College",'rates, dates, etc'!$B$356="On"),'Co-PI Budget (4)'!F56,0)+IF(AND('rates, dates, etc'!$B$436="Endowed College",'rates, dates, etc'!$B$437="On"),'Co-PI Budget (5)'!F56,0)</f>
        <v>0</v>
      </c>
      <c r="G87" s="369">
        <f>IF(AND('rates, dates, etc'!$B$31="Endowed College",'rates, dates, etc'!$B$32="On"),'Lead Budget'!G54,0)+IF(AND('rates, dates, etc'!$B$112="Endowed College",'rates, dates, etc'!$B$113="On"),'Co-PI Budget (1)'!G54,0)+IF(AND('rates, dates, etc'!$B$193="Endowed College",'rates, dates, etc'!$B$194="On"),'Co-PI Budget (2)'!G56,0)+IF(AND('rates, dates, etc'!$B$274="Endowed College",'rates, dates, etc'!$B$275="On"),'Co-PI Budget (3)'!G56,0)+IF(AND('rates, dates, etc'!$B$355="Endowed College",'rates, dates, etc'!$B$356="On"),'Co-PI Budget (4)'!G56,0)+IF(AND('rates, dates, etc'!$B$436="Endowed College",'rates, dates, etc'!$B$437="On"),'Co-PI Budget (5)'!G56,0)</f>
        <v>0</v>
      </c>
      <c r="H87" s="369">
        <f>IF(AND('rates, dates, etc'!$B$31="Endowed College",'rates, dates, etc'!$B$32="On"),'Lead Budget'!H54,0)+IF(AND('rates, dates, etc'!$B$112="Endowed College",'rates, dates, etc'!$B$113="On"),'Co-PI Budget (1)'!H54,0)+IF(AND('rates, dates, etc'!$B$193="Endowed College",'rates, dates, etc'!$B$194="On"),'Co-PI Budget (2)'!H56,0)+IF(AND('rates, dates, etc'!$B$274="Endowed College",'rates, dates, etc'!$B$275="On"),'Co-PI Budget (3)'!H56,0)+IF(AND('rates, dates, etc'!$B$355="Endowed College",'rates, dates, etc'!$B$356="On"),'Co-PI Budget (4)'!H56,0)+IF(AND('rates, dates, etc'!$B$436="Endowed College",'rates, dates, etc'!$B$437="On"),'Co-PI Budget (5)'!H56,0)</f>
        <v>0</v>
      </c>
      <c r="I87" s="369">
        <f>IF(AND('rates, dates, etc'!$B$31="Endowed College",'rates, dates, etc'!$B$32="On"),'Lead Budget'!I54,0)+IF(AND('rates, dates, etc'!$B$112="Endowed College",'rates, dates, etc'!$B$113="On"),'Co-PI Budget (1)'!I54,0)+IF(AND('rates, dates, etc'!$B$193="Endowed College",'rates, dates, etc'!$B$194="On"),'Co-PI Budget (2)'!I56,0)+IF(AND('rates, dates, etc'!$B$274="Endowed College",'rates, dates, etc'!$B$275="On"),'Co-PI Budget (3)'!I56,0)+IF(AND('rates, dates, etc'!$B$355="Endowed College",'rates, dates, etc'!$B$356="On"),'Co-PI Budget (4)'!I56,0)+IF(AND('rates, dates, etc'!$B$436="Endowed College",'rates, dates, etc'!$B$437="On"),'Co-PI Budget (5)'!I56,0)</f>
        <v>0</v>
      </c>
      <c r="J87" s="369">
        <f>IF(AND('rates, dates, etc'!$B$31="Endowed College",'rates, dates, etc'!$B$32="On"),'Lead Budget'!J54,0)+IF(AND('rates, dates, etc'!$B$112="Endowed College",'rates, dates, etc'!$B$113="On"),'Co-PI Budget (1)'!J54,0)+IF(AND('rates, dates, etc'!$B$193="Endowed College",'rates, dates, etc'!$B$194="On"),'Co-PI Budget (2)'!J56,0)+IF(AND('rates, dates, etc'!$B$274="Endowed College",'rates, dates, etc'!$B$275="On"),'Co-PI Budget (3)'!J56,0)+IF(AND('rates, dates, etc'!$B$355="Endowed College",'rates, dates, etc'!$B$356="On"),'Co-PI Budget (4)'!J56,0)+IF(AND('rates, dates, etc'!$B$436="Endowed College",'rates, dates, etc'!$B$437="On"),'Co-PI Budget (5)'!J56,0)</f>
        <v>0</v>
      </c>
      <c r="K87" s="369">
        <f>IF(AND('rates, dates, etc'!$B$31="Endowed College",'rates, dates, etc'!$B$32="On"),'Lead Budget'!K54,0)+IF(AND('rates, dates, etc'!$B$112="Endowed College",'rates, dates, etc'!$B$113="On"),'Co-PI Budget (1)'!K54,0)+IF(AND('rates, dates, etc'!$B$193="Endowed College",'rates, dates, etc'!$B$194="On"),'Co-PI Budget (2)'!K56,0)+IF(AND('rates, dates, etc'!$B$274="Endowed College",'rates, dates, etc'!$B$275="On"),'Co-PI Budget (3)'!K56,0)+IF(AND('rates, dates, etc'!$B$355="Endowed College",'rates, dates, etc'!$B$356="On"),'Co-PI Budget (4)'!K56,0)+IF(AND('rates, dates, etc'!$B$436="Endowed College",'rates, dates, etc'!$B$437="On"),'Co-PI Budget (5)'!K56,0)</f>
        <v>0</v>
      </c>
      <c r="L87" s="370">
        <f t="shared" si="37"/>
        <v>0</v>
      </c>
      <c r="M87" s="382"/>
    </row>
    <row r="88" spans="1:16" ht="12" thickBot="1" x14ac:dyDescent="0.25">
      <c r="A88" s="71" t="s">
        <v>140</v>
      </c>
      <c r="B88" s="369">
        <f>IF(AND('rates, dates, etc'!$B$31="Endowed College",'rates, dates, etc'!$B$32="Off"),'Lead Budget'!B54,0)+IF(AND('rates, dates, etc'!$B$112="Endowed College",'rates, dates, etc'!$B$113="Off"),'Co-PI Budget (1)'!B54,0)+IF(AND('rates, dates, etc'!$B$193="Endowed College",'rates, dates, etc'!$B$194="Off"),'Co-PI Budget (2)'!B56,0)+IF(AND('rates, dates, etc'!$B$274="Endowed College",'rates, dates, etc'!$B$275="Off"),'Co-PI Budget (3)'!B56,0)+IF(AND('rates, dates, etc'!$B$355="Endowed College",'rates, dates, etc'!$B$356="Off"),'Co-PI Budget (4)'!B56,0)+IF(AND('rates, dates, etc'!$B$436="Endowed College",'rates, dates, etc'!$B$437="Off"),'Co-PI Budget (5)'!B56,0)</f>
        <v>0</v>
      </c>
      <c r="C88" s="369">
        <f>IF(AND('rates, dates, etc'!$B$31="Endowed College",'rates, dates, etc'!$B$32="Off"),'Lead Budget'!C54,0)+IF(AND('rates, dates, etc'!$B$112="Endowed College",'rates, dates, etc'!$B$113="Off"),'Co-PI Budget (1)'!C54,0)+IF(AND('rates, dates, etc'!$B$193="Endowed College",'rates, dates, etc'!$B$194="Off"),'Co-PI Budget (2)'!C56,0)+IF(AND('rates, dates, etc'!$B$274="Endowed College",'rates, dates, etc'!$B$275="Off"),'Co-PI Budget (3)'!C56,0)+IF(AND('rates, dates, etc'!$B$355="Endowed College",'rates, dates, etc'!$B$356="Off"),'Co-PI Budget (4)'!C56,0)+IF(AND('rates, dates, etc'!$B$436="Endowed College",'rates, dates, etc'!$B$437="Off"),'Co-PI Budget (5)'!C56,0)</f>
        <v>0</v>
      </c>
      <c r="D88" s="369">
        <f>IF(AND('rates, dates, etc'!$B$31="Endowed College",'rates, dates, etc'!$B$32="Off"),'Lead Budget'!D54,0)+IF(AND('rates, dates, etc'!$B$112="Endowed College",'rates, dates, etc'!$B$113="Off"),'Co-PI Budget (1)'!D54,0)+IF(AND('rates, dates, etc'!$B$193="Endowed College",'rates, dates, etc'!$B$194="Off"),'Co-PI Budget (2)'!D56,0)+IF(AND('rates, dates, etc'!$B$274="Endowed College",'rates, dates, etc'!$B$275="Off"),'Co-PI Budget (3)'!D56,0)+IF(AND('rates, dates, etc'!$B$355="Endowed College",'rates, dates, etc'!$B$356="Off"),'Co-PI Budget (4)'!D56,0)+IF(AND('rates, dates, etc'!$B$436="Endowed College",'rates, dates, etc'!$B$437="Off"),'Co-PI Budget (5)'!D56,0)</f>
        <v>0</v>
      </c>
      <c r="E88" s="369">
        <f>IF(AND('rates, dates, etc'!$B$31="Endowed College",'rates, dates, etc'!$B$32="Off"),'Lead Budget'!E54,0)+IF(AND('rates, dates, etc'!$B$112="Endowed College",'rates, dates, etc'!$B$113="Off"),'Co-PI Budget (1)'!E54,0)+IF(AND('rates, dates, etc'!$B$193="Endowed College",'rates, dates, etc'!$B$194="Off"),'Co-PI Budget (2)'!E56,0)+IF(AND('rates, dates, etc'!$B$274="Endowed College",'rates, dates, etc'!$B$275="Off"),'Co-PI Budget (3)'!E56,0)+IF(AND('rates, dates, etc'!$B$355="Endowed College",'rates, dates, etc'!$B$356="Off"),'Co-PI Budget (4)'!E56,0)+IF(AND('rates, dates, etc'!$B$436="Endowed College",'rates, dates, etc'!$B$437="Off"),'Co-PI Budget (5)'!E56,0)</f>
        <v>0</v>
      </c>
      <c r="F88" s="369">
        <f>IF(AND('rates, dates, etc'!$B$31="Endowed College",'rates, dates, etc'!$B$32="Off"),'Lead Budget'!F54,0)+IF(AND('rates, dates, etc'!$B$112="Endowed College",'rates, dates, etc'!$B$113="Off"),'Co-PI Budget (1)'!F54,0)+IF(AND('rates, dates, etc'!$B$193="Endowed College",'rates, dates, etc'!$B$194="Off"),'Co-PI Budget (2)'!F56,0)+IF(AND('rates, dates, etc'!$B$274="Endowed College",'rates, dates, etc'!$B$275="Off"),'Co-PI Budget (3)'!F56,0)+IF(AND('rates, dates, etc'!$B$355="Endowed College",'rates, dates, etc'!$B$356="Off"),'Co-PI Budget (4)'!F56,0)+IF(AND('rates, dates, etc'!$B$436="Endowed College",'rates, dates, etc'!$B$437="Off"),'Co-PI Budget (5)'!F56,0)</f>
        <v>0</v>
      </c>
      <c r="G88" s="369">
        <f>IF(AND('rates, dates, etc'!$B$31="Endowed College",'rates, dates, etc'!$B$32="Off"),'Lead Budget'!G54,0)+IF(AND('rates, dates, etc'!$B$112="Endowed College",'rates, dates, etc'!$B$113="Off"),'Co-PI Budget (1)'!G54,0)+IF(AND('rates, dates, etc'!$B$193="Endowed College",'rates, dates, etc'!$B$194="Off"),'Co-PI Budget (2)'!G56,0)+IF(AND('rates, dates, etc'!$B$274="Endowed College",'rates, dates, etc'!$B$275="Off"),'Co-PI Budget (3)'!G56,0)+IF(AND('rates, dates, etc'!$B$355="Endowed College",'rates, dates, etc'!$B$356="Off"),'Co-PI Budget (4)'!G56,0)+IF(AND('rates, dates, etc'!$B$436="Endowed College",'rates, dates, etc'!$B$437="Off"),'Co-PI Budget (5)'!G56,0)</f>
        <v>0</v>
      </c>
      <c r="H88" s="369">
        <f>IF(AND('rates, dates, etc'!$B$31="Endowed College",'rates, dates, etc'!$B$32="Off"),'Lead Budget'!H54,0)+IF(AND('rates, dates, etc'!$B$112="Endowed College",'rates, dates, etc'!$B$113="Off"),'Co-PI Budget (1)'!H54,0)+IF(AND('rates, dates, etc'!$B$193="Endowed College",'rates, dates, etc'!$B$194="Off"),'Co-PI Budget (2)'!H56,0)+IF(AND('rates, dates, etc'!$B$274="Endowed College",'rates, dates, etc'!$B$275="Off"),'Co-PI Budget (3)'!H56,0)+IF(AND('rates, dates, etc'!$B$355="Endowed College",'rates, dates, etc'!$B$356="Off"),'Co-PI Budget (4)'!H56,0)+IF(AND('rates, dates, etc'!$B$436="Endowed College",'rates, dates, etc'!$B$437="Off"),'Co-PI Budget (5)'!H56,0)</f>
        <v>0</v>
      </c>
      <c r="I88" s="369">
        <f>IF(AND('rates, dates, etc'!$B$31="Endowed College",'rates, dates, etc'!$B$32="Off"),'Lead Budget'!I54,0)+IF(AND('rates, dates, etc'!$B$112="Endowed College",'rates, dates, etc'!$B$113="Off"),'Co-PI Budget (1)'!I54,0)+IF(AND('rates, dates, etc'!$B$193="Endowed College",'rates, dates, etc'!$B$194="Off"),'Co-PI Budget (2)'!I56,0)+IF(AND('rates, dates, etc'!$B$274="Endowed College",'rates, dates, etc'!$B$275="Off"),'Co-PI Budget (3)'!I56,0)+IF(AND('rates, dates, etc'!$B$355="Endowed College",'rates, dates, etc'!$B$356="Off"),'Co-PI Budget (4)'!I56,0)+IF(AND('rates, dates, etc'!$B$436="Endowed College",'rates, dates, etc'!$B$437="Off"),'Co-PI Budget (5)'!I56,0)</f>
        <v>0</v>
      </c>
      <c r="J88" s="369">
        <f>IF(AND('rates, dates, etc'!$B$31="Endowed College",'rates, dates, etc'!$B$32="Off"),'Lead Budget'!J54,0)+IF(AND('rates, dates, etc'!$B$112="Endowed College",'rates, dates, etc'!$B$113="Off"),'Co-PI Budget (1)'!J54,0)+IF(AND('rates, dates, etc'!$B$193="Endowed College",'rates, dates, etc'!$B$194="Off"),'Co-PI Budget (2)'!J56,0)+IF(AND('rates, dates, etc'!$B$274="Endowed College",'rates, dates, etc'!$B$275="Off"),'Co-PI Budget (3)'!J56,0)+IF(AND('rates, dates, etc'!$B$355="Endowed College",'rates, dates, etc'!$B$356="Off"),'Co-PI Budget (4)'!J56,0)+IF(AND('rates, dates, etc'!$B$436="Endowed College",'rates, dates, etc'!$B$437="Off"),'Co-PI Budget (5)'!J56,0)</f>
        <v>0</v>
      </c>
      <c r="K88" s="369">
        <f>IF(AND('rates, dates, etc'!$B$31="Endowed College",'rates, dates, etc'!$B$32="Off"),'Lead Budget'!K54,0)+IF(AND('rates, dates, etc'!$B$112="Endowed College",'rates, dates, etc'!$B$113="Off"),'Co-PI Budget (1)'!K54,0)+IF(AND('rates, dates, etc'!$B$193="Endowed College",'rates, dates, etc'!$B$194="Off"),'Co-PI Budget (2)'!K56,0)+IF(AND('rates, dates, etc'!$B$274="Endowed College",'rates, dates, etc'!$B$275="Off"),'Co-PI Budget (3)'!K56,0)+IF(AND('rates, dates, etc'!$B$355="Endowed College",'rates, dates, etc'!$B$356="Off"),'Co-PI Budget (4)'!K56,0)+IF(AND('rates, dates, etc'!$B$436="Endowed College",'rates, dates, etc'!$B$437="Off"),'Co-PI Budget (5)'!K56,0)</f>
        <v>0</v>
      </c>
      <c r="L88" s="370">
        <f t="shared" si="37"/>
        <v>0</v>
      </c>
      <c r="M88" s="382"/>
    </row>
    <row r="89" spans="1:16" ht="12" thickBot="1" x14ac:dyDescent="0.25">
      <c r="A89" s="99" t="s">
        <v>18</v>
      </c>
      <c r="B89" s="368">
        <f>IF(AND('rates, dates, etc'!$B$8="no",$L$99&lt;$L$100),B99,B100)</f>
        <v>0</v>
      </c>
      <c r="C89" s="368">
        <f>IF(AND('rates, dates, etc'!$B$8="no",$L$99&lt;$L$100),C99,C100)</f>
        <v>0</v>
      </c>
      <c r="D89" s="368">
        <f>IF(AND('rates, dates, etc'!$B$8="no",$L$99&lt;$L$100),D99,D100)</f>
        <v>0</v>
      </c>
      <c r="E89" s="368">
        <f>IF(AND('rates, dates, etc'!$B$8="no",$L$99&lt;$L$100),E99,E100)</f>
        <v>0</v>
      </c>
      <c r="F89" s="368">
        <f>IF(AND('rates, dates, etc'!$B$8="no",$L$99&lt;$L$100),F99,F100)</f>
        <v>0</v>
      </c>
      <c r="G89" s="368">
        <f>IF(AND('rates, dates, etc'!$B$8="no",$L$99&lt;$L$100),G99,G100)</f>
        <v>0</v>
      </c>
      <c r="H89" s="368">
        <f>IF(AND('rates, dates, etc'!$B$8="no",$L$99&lt;$L$100),H99,H100)</f>
        <v>0</v>
      </c>
      <c r="I89" s="368">
        <f>IF(AND('rates, dates, etc'!$B$8="no",$L$99&lt;$L$100),I99,I100)</f>
        <v>0</v>
      </c>
      <c r="J89" s="368">
        <f>IF(AND('rates, dates, etc'!$B$8="no",$L$99&lt;$L$100),J99,J100)</f>
        <v>0</v>
      </c>
      <c r="K89" s="368">
        <f>IF(AND('rates, dates, etc'!$B$8="no",$L$99&lt;$L$100),K99,K100)</f>
        <v>0</v>
      </c>
      <c r="L89" s="371">
        <f t="shared" si="37"/>
        <v>0</v>
      </c>
      <c r="M89" s="382"/>
      <c r="O89" s="339"/>
      <c r="P89" s="339"/>
    </row>
    <row r="90" spans="1:16" ht="12" thickBot="1" x14ac:dyDescent="0.25">
      <c r="A90" s="99" t="s">
        <v>164</v>
      </c>
      <c r="B90" s="367">
        <f>B84-(SUM(B85:B88))</f>
        <v>0</v>
      </c>
      <c r="C90" s="367">
        <f t="shared" ref="C90:F90" si="38">C84-(SUM(C85:C88))</f>
        <v>0</v>
      </c>
      <c r="D90" s="367">
        <f t="shared" si="38"/>
        <v>0</v>
      </c>
      <c r="E90" s="367">
        <f t="shared" si="38"/>
        <v>0</v>
      </c>
      <c r="F90" s="367">
        <f t="shared" si="38"/>
        <v>0</v>
      </c>
      <c r="G90" s="367">
        <f t="shared" ref="G90:K90" si="39">G84-(SUM(G85:G88))</f>
        <v>0</v>
      </c>
      <c r="H90" s="367">
        <f t="shared" si="39"/>
        <v>0</v>
      </c>
      <c r="I90" s="367">
        <f t="shared" si="39"/>
        <v>0</v>
      </c>
      <c r="J90" s="367">
        <f t="shared" si="39"/>
        <v>0</v>
      </c>
      <c r="K90" s="367">
        <f t="shared" si="39"/>
        <v>0</v>
      </c>
      <c r="L90" s="366">
        <f t="shared" si="37"/>
        <v>0</v>
      </c>
      <c r="M90" s="382"/>
      <c r="O90" s="339"/>
      <c r="P90" s="339"/>
    </row>
    <row r="91" spans="1:16" ht="12" thickBot="1" x14ac:dyDescent="0.25">
      <c r="A91" s="372" t="s">
        <v>19</v>
      </c>
      <c r="B91" s="373">
        <f t="shared" ref="B91:F91" si="40">+B84+B89</f>
        <v>0</v>
      </c>
      <c r="C91" s="373">
        <f t="shared" si="40"/>
        <v>0</v>
      </c>
      <c r="D91" s="373">
        <f t="shared" si="40"/>
        <v>0</v>
      </c>
      <c r="E91" s="373">
        <f t="shared" si="40"/>
        <v>0</v>
      </c>
      <c r="F91" s="373">
        <f t="shared" si="40"/>
        <v>0</v>
      </c>
      <c r="G91" s="373">
        <f t="shared" ref="G91:K91" si="41">+G84+G89</f>
        <v>0</v>
      </c>
      <c r="H91" s="373">
        <f t="shared" si="41"/>
        <v>0</v>
      </c>
      <c r="I91" s="373">
        <f t="shared" si="41"/>
        <v>0</v>
      </c>
      <c r="J91" s="373">
        <f t="shared" si="41"/>
        <v>0</v>
      </c>
      <c r="K91" s="373">
        <f t="shared" si="41"/>
        <v>0</v>
      </c>
      <c r="L91" s="374">
        <f t="shared" si="37"/>
        <v>0</v>
      </c>
      <c r="M91" s="405" t="str">
        <f>IF(L91=SUM('Lead Budget'!L56+'Co-PI Budget (1)'!L56+'Co-PI Budget (2)'!L58+'Co-PI Budget (3)'!L58+'Co-PI Budget (4)'!L58+'Co-PI Budget (5)'!L58),"BALANCED",SUM(L91-SUM('Lead Budget'!L56+'Co-PI Budget (1)'!L56+'Co-PI Budget (2)'!L58+'Co-PI Budget (3)'!L58+'Co-PI Budget (4)'!L58+'Co-PI Budget (5)'!L58)))</f>
        <v>BALANCED</v>
      </c>
      <c r="N91" s="2"/>
      <c r="O91" s="339"/>
      <c r="P91" s="339"/>
    </row>
    <row r="92" spans="1:16" x14ac:dyDescent="0.2">
      <c r="A92" s="349"/>
      <c r="B92" s="350"/>
      <c r="C92" s="350"/>
      <c r="D92" s="350"/>
      <c r="E92" s="350"/>
      <c r="F92" s="350"/>
      <c r="G92" s="350"/>
      <c r="H92" s="350"/>
      <c r="I92" s="350"/>
      <c r="J92" s="350"/>
      <c r="K92" s="350"/>
    </row>
    <row r="93" spans="1:16" x14ac:dyDescent="0.2">
      <c r="A93" s="349"/>
      <c r="B93" s="350"/>
      <c r="C93" s="350"/>
      <c r="D93" s="350"/>
      <c r="E93" s="350"/>
      <c r="F93" s="350"/>
      <c r="G93" s="350"/>
      <c r="H93" s="350"/>
      <c r="I93" s="350"/>
      <c r="J93" s="350"/>
      <c r="K93" s="350"/>
    </row>
    <row r="94" spans="1:16" x14ac:dyDescent="0.2">
      <c r="A94" s="349"/>
      <c r="B94" s="350"/>
      <c r="C94" s="350"/>
      <c r="D94" s="350"/>
      <c r="E94" s="350"/>
      <c r="F94" s="350"/>
      <c r="G94" s="350"/>
      <c r="H94" s="350"/>
      <c r="I94" s="350"/>
      <c r="J94" s="350"/>
      <c r="K94" s="350"/>
    </row>
    <row r="95" spans="1:16" x14ac:dyDescent="0.2">
      <c r="A95" s="349"/>
      <c r="B95" s="350"/>
      <c r="C95" s="350"/>
      <c r="D95" s="350"/>
      <c r="E95" s="350"/>
      <c r="F95" s="350"/>
      <c r="G95" s="350"/>
      <c r="H95" s="350"/>
      <c r="I95" s="350"/>
      <c r="J95" s="350"/>
      <c r="K95" s="350"/>
    </row>
    <row r="96" spans="1:16" ht="12" thickBot="1" x14ac:dyDescent="0.25">
      <c r="A96" s="351"/>
      <c r="B96" s="352"/>
      <c r="C96" s="352"/>
      <c r="D96" s="352"/>
      <c r="E96" s="352"/>
      <c r="F96" s="352"/>
      <c r="G96" s="352"/>
      <c r="H96" s="352"/>
      <c r="I96" s="352"/>
      <c r="J96" s="352"/>
      <c r="K96" s="352"/>
      <c r="L96" s="352"/>
    </row>
    <row r="97" spans="1:26" ht="12" thickBot="1" x14ac:dyDescent="0.25">
      <c r="A97" s="20" t="s">
        <v>40</v>
      </c>
      <c r="B97" s="375">
        <f>+'Lead Budget'!B59+'Co-PI Budget (1)'!B59+'Co-PI Budget (2)'!B61+'Co-PI Budget (3)'!B61+'Co-PI Budget (4)'!B61+'Co-PI Budget (5)'!B61</f>
        <v>0</v>
      </c>
      <c r="C97" s="375">
        <f>+'Lead Budget'!C59+'Co-PI Budget (1)'!C59+'Co-PI Budget (2)'!C61+'Co-PI Budget (3)'!C61+'Co-PI Budget (4)'!C61+'Co-PI Budget (5)'!C61</f>
        <v>0</v>
      </c>
      <c r="D97" s="375">
        <f>+'Lead Budget'!D59+'Co-PI Budget (1)'!D59+'Co-PI Budget (2)'!D61+'Co-PI Budget (3)'!D61+'Co-PI Budget (4)'!D61+'Co-PI Budget (5)'!D61</f>
        <v>0</v>
      </c>
      <c r="E97" s="375">
        <f>+'Lead Budget'!E59+'Co-PI Budget (1)'!E59+'Co-PI Budget (2)'!E61+'Co-PI Budget (3)'!E61+'Co-PI Budget (4)'!E61+'Co-PI Budget (5)'!E61</f>
        <v>0</v>
      </c>
      <c r="F97" s="375">
        <f>+'Lead Budget'!F59+'Co-PI Budget (1)'!F59+'Co-PI Budget (2)'!F61+'Co-PI Budget (3)'!F61+'Co-PI Budget (4)'!F61+'Co-PI Budget (5)'!F61</f>
        <v>0</v>
      </c>
      <c r="G97" s="375">
        <f>+'Lead Budget'!G59+'Co-PI Budget (1)'!G59+'Co-PI Budget (2)'!G61+'Co-PI Budget (3)'!G61+'Co-PI Budget (4)'!G61+'Co-PI Budget (5)'!G61</f>
        <v>0</v>
      </c>
      <c r="H97" s="375">
        <f>+'Lead Budget'!H59+'Co-PI Budget (1)'!H59+'Co-PI Budget (2)'!H61+'Co-PI Budget (3)'!H61+'Co-PI Budget (4)'!H61+'Co-PI Budget (5)'!H61</f>
        <v>0</v>
      </c>
      <c r="I97" s="375">
        <f>+'Lead Budget'!I59+'Co-PI Budget (1)'!I59+'Co-PI Budget (2)'!I61+'Co-PI Budget (3)'!I61+'Co-PI Budget (4)'!I61+'Co-PI Budget (5)'!I61</f>
        <v>0</v>
      </c>
      <c r="J97" s="375">
        <f>+'Lead Budget'!J59+'Co-PI Budget (1)'!J59+'Co-PI Budget (2)'!J61+'Co-PI Budget (3)'!J61+'Co-PI Budget (4)'!J61+'Co-PI Budget (5)'!J61</f>
        <v>0</v>
      </c>
      <c r="K97" s="375">
        <f>+'Lead Budget'!K59+'Co-PI Budget (1)'!K59+'Co-PI Budget (2)'!K61+'Co-PI Budget (3)'!K61+'Co-PI Budget (4)'!K61+'Co-PI Budget (5)'!K61</f>
        <v>0</v>
      </c>
      <c r="L97" s="410">
        <f>SUM(B97:K97)</f>
        <v>0</v>
      </c>
      <c r="O97" s="353"/>
    </row>
    <row r="98" spans="1:26" ht="12" thickBot="1" x14ac:dyDescent="0.25">
      <c r="O98" s="354"/>
      <c r="P98" s="354"/>
      <c r="Q98" s="354"/>
      <c r="R98" s="354"/>
      <c r="S98" s="354"/>
      <c r="T98" s="354"/>
    </row>
    <row r="99" spans="1:26" ht="12" thickBot="1" x14ac:dyDescent="0.25">
      <c r="A99" s="90" t="s">
        <v>110</v>
      </c>
      <c r="B99" s="376">
        <f>'Lead Budget'!B61+'Co-PI Budget (1)'!B61+'Co-PI Budget (2)'!B63+'Co-PI Budget (3)'!B63+'Co-PI Budget (4)'!B63+'Co-PI Budget (5)'!B63</f>
        <v>0</v>
      </c>
      <c r="C99" s="377">
        <f>'Lead Budget'!C61+'Co-PI Budget (1)'!C61+'Co-PI Budget (2)'!C63+'Co-PI Budget (3)'!C63+'Co-PI Budget (4)'!C63+'Co-PI Budget (5)'!C63</f>
        <v>0</v>
      </c>
      <c r="D99" s="377">
        <f>'Lead Budget'!D61+'Co-PI Budget (1)'!D61+'Co-PI Budget (2)'!D63+'Co-PI Budget (3)'!D63+'Co-PI Budget (4)'!D63+'Co-PI Budget (5)'!D63</f>
        <v>0</v>
      </c>
      <c r="E99" s="377">
        <f>'Lead Budget'!E61+'Co-PI Budget (1)'!E61+'Co-PI Budget (2)'!E63+'Co-PI Budget (3)'!E63+'Co-PI Budget (4)'!E63+'Co-PI Budget (5)'!E63</f>
        <v>0</v>
      </c>
      <c r="F99" s="377">
        <f>'Lead Budget'!F61+'Co-PI Budget (1)'!F61+'Co-PI Budget (2)'!F63+'Co-PI Budget (3)'!F63+'Co-PI Budget (4)'!F63+'Co-PI Budget (5)'!F63</f>
        <v>0</v>
      </c>
      <c r="G99" s="377">
        <f>'Lead Budget'!G61+'Co-PI Budget (1)'!G61+'Co-PI Budget (2)'!G63+'Co-PI Budget (3)'!G63+'Co-PI Budget (4)'!G63+'Co-PI Budget (5)'!G63</f>
        <v>0</v>
      </c>
      <c r="H99" s="377">
        <f>'Lead Budget'!H61+'Co-PI Budget (1)'!H61+'Co-PI Budget (2)'!H63+'Co-PI Budget (3)'!H63+'Co-PI Budget (4)'!H63+'Co-PI Budget (5)'!H63</f>
        <v>0</v>
      </c>
      <c r="I99" s="377">
        <f>'Lead Budget'!I61+'Co-PI Budget (1)'!I61+'Co-PI Budget (2)'!I63+'Co-PI Budget (3)'!I63+'Co-PI Budget (4)'!I63+'Co-PI Budget (5)'!I63</f>
        <v>0</v>
      </c>
      <c r="J99" s="377">
        <f>'Lead Budget'!J61+'Co-PI Budget (1)'!J61+'Co-PI Budget (2)'!J63+'Co-PI Budget (3)'!J63+'Co-PI Budget (4)'!J63+'Co-PI Budget (5)'!J63</f>
        <v>0</v>
      </c>
      <c r="K99" s="377">
        <f>'Lead Budget'!K61+'Co-PI Budget (1)'!K61+'Co-PI Budget (2)'!K63+'Co-PI Budget (3)'!K63+'Co-PI Budget (4)'!K63+'Co-PI Budget (5)'!K63</f>
        <v>0</v>
      </c>
      <c r="L99" s="408">
        <f>SUM(B99:K99)</f>
        <v>0</v>
      </c>
      <c r="O99" s="354"/>
      <c r="P99" s="354"/>
      <c r="Q99" s="354"/>
      <c r="R99" s="354"/>
      <c r="S99" s="354"/>
      <c r="T99" s="354"/>
    </row>
    <row r="100" spans="1:26" ht="12" thickBot="1" x14ac:dyDescent="0.25">
      <c r="A100" s="90" t="s">
        <v>120</v>
      </c>
      <c r="B100" s="376">
        <f>'Lead Budget'!B62+'Co-PI Budget (1)'!B62+'Co-PI Budget (2)'!B64+'Co-PI Budget (3)'!B64+'Co-PI Budget (4)'!B64+'Co-PI Budget (5)'!B64</f>
        <v>0</v>
      </c>
      <c r="C100" s="377">
        <f>'Lead Budget'!C62+'Co-PI Budget (1)'!C62+'Co-PI Budget (2)'!C64+'Co-PI Budget (3)'!C64+'Co-PI Budget (4)'!C64+'Co-PI Budget (5)'!C64</f>
        <v>0</v>
      </c>
      <c r="D100" s="377">
        <f>'Lead Budget'!D62+'Co-PI Budget (1)'!D62+'Co-PI Budget (2)'!D64+'Co-PI Budget (3)'!D64+'Co-PI Budget (4)'!D64+'Co-PI Budget (5)'!D64</f>
        <v>0</v>
      </c>
      <c r="E100" s="377">
        <f>'Lead Budget'!E62+'Co-PI Budget (1)'!E62+'Co-PI Budget (2)'!E64+'Co-PI Budget (3)'!E64+'Co-PI Budget (4)'!E64+'Co-PI Budget (5)'!E64</f>
        <v>0</v>
      </c>
      <c r="F100" s="377">
        <f>'Lead Budget'!F62+'Co-PI Budget (1)'!F62+'Co-PI Budget (2)'!F64+'Co-PI Budget (3)'!F64+'Co-PI Budget (4)'!F64+'Co-PI Budget (5)'!F64</f>
        <v>0</v>
      </c>
      <c r="G100" s="377">
        <f>'Lead Budget'!G62+'Co-PI Budget (1)'!G62+'Co-PI Budget (2)'!G64+'Co-PI Budget (3)'!G64+'Co-PI Budget (4)'!G64+'Co-PI Budget (5)'!G64</f>
        <v>0</v>
      </c>
      <c r="H100" s="377">
        <f>'Lead Budget'!H62+'Co-PI Budget (1)'!H62+'Co-PI Budget (2)'!H64+'Co-PI Budget (3)'!H64+'Co-PI Budget (4)'!H64+'Co-PI Budget (5)'!H64</f>
        <v>0</v>
      </c>
      <c r="I100" s="377">
        <f>'Lead Budget'!I62+'Co-PI Budget (1)'!I62+'Co-PI Budget (2)'!I64+'Co-PI Budget (3)'!I64+'Co-PI Budget (4)'!I64+'Co-PI Budget (5)'!I64</f>
        <v>0</v>
      </c>
      <c r="J100" s="377">
        <f>'Lead Budget'!J62+'Co-PI Budget (1)'!J62+'Co-PI Budget (2)'!J64+'Co-PI Budget (3)'!J64+'Co-PI Budget (4)'!J64+'Co-PI Budget (5)'!J64</f>
        <v>0</v>
      </c>
      <c r="K100" s="377">
        <f>'Lead Budget'!K62+'Co-PI Budget (1)'!K62+'Co-PI Budget (2)'!K64+'Co-PI Budget (3)'!K64+'Co-PI Budget (4)'!K64+'Co-PI Budget (5)'!K64</f>
        <v>0</v>
      </c>
      <c r="L100" s="408">
        <f>SUM(B100:K100)</f>
        <v>0</v>
      </c>
      <c r="O100" s="354"/>
      <c r="P100" s="354"/>
      <c r="Q100" s="354"/>
      <c r="R100" s="354"/>
      <c r="S100" s="354"/>
      <c r="T100" s="354"/>
    </row>
    <row r="101" spans="1:26" x14ac:dyDescent="0.2">
      <c r="O101" s="354"/>
      <c r="P101" s="354"/>
      <c r="Q101" s="354"/>
      <c r="R101" s="354"/>
      <c r="S101" s="354"/>
      <c r="T101" s="354"/>
    </row>
    <row r="102" spans="1:26" x14ac:dyDescent="0.2">
      <c r="A102" s="411"/>
      <c r="B102" s="409"/>
      <c r="C102" s="409"/>
      <c r="D102" s="409"/>
      <c r="E102" s="409"/>
      <c r="F102" s="409"/>
      <c r="G102" s="409"/>
      <c r="H102" s="409"/>
      <c r="I102" s="409"/>
      <c r="J102" s="409"/>
      <c r="K102" s="409"/>
      <c r="L102" s="409"/>
    </row>
    <row r="103" spans="1:26" x14ac:dyDescent="0.2">
      <c r="A103" s="412"/>
      <c r="B103" s="413"/>
      <c r="C103" s="413"/>
      <c r="D103" s="413"/>
      <c r="E103" s="413"/>
      <c r="F103" s="413"/>
      <c r="G103" s="413"/>
      <c r="H103" s="413"/>
      <c r="I103" s="413"/>
      <c r="J103" s="413"/>
      <c r="K103" s="413"/>
      <c r="L103" s="413"/>
    </row>
    <row r="104" spans="1:26" x14ac:dyDescent="0.2">
      <c r="A104" s="412"/>
      <c r="B104" s="413"/>
      <c r="C104" s="413"/>
      <c r="D104" s="413"/>
      <c r="E104" s="413"/>
      <c r="F104" s="413"/>
      <c r="G104" s="413"/>
      <c r="H104" s="413"/>
      <c r="I104" s="413"/>
      <c r="J104" s="413"/>
      <c r="K104" s="413"/>
      <c r="L104" s="413"/>
    </row>
    <row r="105" spans="1:26" x14ac:dyDescent="0.2">
      <c r="A105" s="345"/>
      <c r="B105" s="414"/>
      <c r="C105" s="414"/>
      <c r="D105" s="414"/>
      <c r="E105" s="414"/>
      <c r="F105" s="414"/>
      <c r="G105" s="414"/>
      <c r="H105" s="414"/>
      <c r="I105" s="414"/>
      <c r="J105" s="414"/>
      <c r="K105" s="414"/>
      <c r="L105" s="409"/>
      <c r="N105" s="1" t="str">
        <f>+'rates, dates, etc'!M6</f>
        <v>IDC Rate - Contract:</v>
      </c>
      <c r="O105" s="1">
        <f>IF('rates, dates, etc'!$B32="Off",(HLOOKUP('rates, dates, etc'!B$37,'rates, dates, etc'!$N$2:$Z$10,8,FALSE)),IF('rates, dates, etc'!$B$7="Other",(HLOOKUP('rates, dates, etc'!B$37,'rates, dates, etc'!$N$2:$Z$10,7,FALSE)),(HLOOKUP('rates, dates, etc'!B$37,'rates, dates, etc'!$N$2:$Y$12,5,FALSE))))</f>
        <v>0.56999999999999995</v>
      </c>
      <c r="P105" s="1">
        <f>IF('rates, dates, etc'!$B32="Off",(HLOOKUP('rates, dates, etc'!C$37,'rates, dates, etc'!$N$2:$Z$10,8,FALSE)),IF('rates, dates, etc'!$B$7="Other",(HLOOKUP('rates, dates, etc'!C$37,'rates, dates, etc'!$N$2:$Z$10,7,FALSE)),(HLOOKUP('rates, dates, etc'!C$37,'rates, dates, etc'!$N$2:$Y$12,5,FALSE))))</f>
        <v>0.56999999999999995</v>
      </c>
      <c r="Q105" s="1">
        <f>IF('rates, dates, etc'!$B32="Off",(HLOOKUP('rates, dates, etc'!D$37,'rates, dates, etc'!$N$2:$Z$10,8,FALSE)),IF('rates, dates, etc'!$B$7="Other",(HLOOKUP('rates, dates, etc'!D$37,'rates, dates, etc'!$N$2:$Z$10,7,FALSE)),(HLOOKUP('rates, dates, etc'!D$37,'rates, dates, etc'!$N$2:$Y$12,5,FALSE))))</f>
        <v>0.56999999999999995</v>
      </c>
      <c r="R105" s="1">
        <f>IF('rates, dates, etc'!$B32="Off",(HLOOKUP('rates, dates, etc'!E$37,'rates, dates, etc'!$N$2:$Z$10,8,FALSE)),IF('rates, dates, etc'!$B$7="Other",(HLOOKUP('rates, dates, etc'!E$37,'rates, dates, etc'!$N$2:$Z$10,7,FALSE)),(HLOOKUP('rates, dates, etc'!E$37,'rates, dates, etc'!$N$2:$Y$12,5,FALSE))))</f>
        <v>0.56999999999999995</v>
      </c>
      <c r="S105" s="1">
        <f>IF('rates, dates, etc'!$B32="Off",(HLOOKUP('rates, dates, etc'!F$37,'rates, dates, etc'!$N$2:$Z$10,8,FALSE)),IF('rates, dates, etc'!$B$7="Other",(HLOOKUP('rates, dates, etc'!F$37,'rates, dates, etc'!$N$2:$Z$10,7,FALSE)),(HLOOKUP('rates, dates, etc'!F$37,'rates, dates, etc'!$N$2:$Y$12,5,FALSE))))</f>
        <v>0.56999999999999995</v>
      </c>
      <c r="T105" s="1">
        <f>IF('rates, dates, etc'!$B32="Off",(HLOOKUP('rates, dates, etc'!G$37,'rates, dates, etc'!$N$2:$Z$10,8,FALSE)),IF('rates, dates, etc'!$B$7="Other",(HLOOKUP('rates, dates, etc'!G$37,'rates, dates, etc'!$N$2:$Z$10,7,FALSE)),(HLOOKUP('rates, dates, etc'!G$37,'rates, dates, etc'!$N$2:$Y$12,5,FALSE))))</f>
        <v>0.56999999999999995</v>
      </c>
      <c r="U105" s="1">
        <f>IF('rates, dates, etc'!$B32="Off",(HLOOKUP('rates, dates, etc'!H$37,'rates, dates, etc'!$N$2:$Z$10,8,FALSE)),IF('rates, dates, etc'!$B$7="Other",(HLOOKUP('rates, dates, etc'!H$37,'rates, dates, etc'!$N$2:$Z$10,7,FALSE)),(HLOOKUP('rates, dates, etc'!H$37,'rates, dates, etc'!$N$2:$Y$12,5,FALSE))))</f>
        <v>0.56999999999999995</v>
      </c>
      <c r="V105" s="1">
        <f>IF('rates, dates, etc'!$B32="Off",(HLOOKUP('rates, dates, etc'!I$37,'rates, dates, etc'!$N$2:$Z$10,8,FALSE)),IF('rates, dates, etc'!$B$7="Other",(HLOOKUP('rates, dates, etc'!I$37,'rates, dates, etc'!$N$2:$Z$10,7,FALSE)),(HLOOKUP('rates, dates, etc'!I$37,'rates, dates, etc'!$N$2:$Y$12,5,FALSE))))</f>
        <v>0.56999999999999995</v>
      </c>
      <c r="W105" s="1">
        <f>IF('rates, dates, etc'!$B32="Off",(HLOOKUP('rates, dates, etc'!J$37,'rates, dates, etc'!$N$2:$Z$10,8,FALSE)),IF('rates, dates, etc'!$B$7="Other",(HLOOKUP('rates, dates, etc'!J$37,'rates, dates, etc'!$N$2:$Z$10,7,FALSE)),(HLOOKUP('rates, dates, etc'!J$37,'rates, dates, etc'!$N$2:$Y$12,5,FALSE))))</f>
        <v>0.56999999999999995</v>
      </c>
      <c r="X105" s="1">
        <f>IF('rates, dates, etc'!$B32="Off",(HLOOKUP('rates, dates, etc'!K$37,'rates, dates, etc'!$N$2:$Z$10,8,FALSE)),IF('rates, dates, etc'!$B$7="Other",(HLOOKUP('rates, dates, etc'!K$37,'rates, dates, etc'!$N$2:$Z$10,7,FALSE)),(HLOOKUP('rates, dates, etc'!K$37,'rates, dates, etc'!$N$2:$Y$12,5,FALSE))))</f>
        <v>0.56999999999999995</v>
      </c>
      <c r="Y105" s="1">
        <f>IF('rates, dates, etc'!$B32="Off",(HLOOKUP('rates, dates, etc'!L$37,'rates, dates, etc'!$N$2:$Z$10,8,FALSE)),IF('rates, dates, etc'!$B$7="Other",(HLOOKUP('rates, dates, etc'!L$37,'rates, dates, etc'!$N$2:$Z$10,7,FALSE)),(HLOOKUP('rates, dates, etc'!L$37,'rates, dates, etc'!$N$2:$Y$12,5,FALSE))))</f>
        <v>0.56999999999999995</v>
      </c>
      <c r="Z105" s="1">
        <f>IF('rates, dates, etc'!$B32="Off",(HLOOKUP('rates, dates, etc'!M$37,'rates, dates, etc'!$N$2:$Z$10,8,FALSE)),IF('rates, dates, etc'!$B$7="Other",(HLOOKUP('rates, dates, etc'!M$37,'rates, dates, etc'!$N$2:$Z$10,7,FALSE)),(HLOOKUP('rates, dates, etc'!M$37,'rates, dates, etc'!$N$2:$Z$12,5,FALSE))))</f>
        <v>0.56999999999999995</v>
      </c>
    </row>
    <row r="106" spans="1:26" x14ac:dyDescent="0.2">
      <c r="B106" s="409"/>
      <c r="C106" s="409"/>
      <c r="D106" s="409"/>
      <c r="E106" s="409"/>
      <c r="F106" s="409"/>
      <c r="G106" s="409"/>
      <c r="H106" s="409"/>
      <c r="I106" s="409"/>
      <c r="J106" s="409"/>
      <c r="K106" s="409"/>
      <c r="L106" s="409"/>
      <c r="N106" s="1" t="str">
        <f>+'rates, dates, etc'!M7</f>
        <v>IDC Rate - Endowed:</v>
      </c>
      <c r="O106" s="1">
        <f>IF('rates, dates, etc'!$B32="Off",(HLOOKUP('rates, dates, etc'!B$37,'rates, dates, etc'!$N$2:$Z$10,8,FALSE)),IF('rates, dates, etc'!$B$7="Other",(HLOOKUP('rates, dates, etc'!B$37,'rates, dates, etc'!$N$2:$Z$10,7,FALSE)),(HLOOKUP('rates, dates, etc'!B$37,'rates, dates, etc'!$N$2:$Y$12,6,FALSE))))</f>
        <v>0.64</v>
      </c>
      <c r="P106" s="1">
        <f>IF('rates, dates, etc'!$B32="Off",(HLOOKUP('rates, dates, etc'!C$37,'rates, dates, etc'!$N$2:$Z$10,8,FALSE)),IF('rates, dates, etc'!$B$7="Other",(HLOOKUP('rates, dates, etc'!C$37,'rates, dates, etc'!$N$2:$Z$10,7,FALSE)),(HLOOKUP('rates, dates, etc'!C$37,'rates, dates, etc'!$N$2:$Y$12,6,FALSE))))</f>
        <v>0.64</v>
      </c>
      <c r="Q106" s="1">
        <f>IF('rates, dates, etc'!$B32="Off",(HLOOKUP('rates, dates, etc'!D$37,'rates, dates, etc'!$N$2:$Z$10,8,FALSE)),IF('rates, dates, etc'!$B$7="Other",(HLOOKUP('rates, dates, etc'!D$37,'rates, dates, etc'!$N$2:$Z$10,7,FALSE)),(HLOOKUP('rates, dates, etc'!D$37,'rates, dates, etc'!$N$2:$Y$12,6,FALSE))))</f>
        <v>0.64</v>
      </c>
      <c r="R106" s="1">
        <f>IF('rates, dates, etc'!$B32="Off",(HLOOKUP('rates, dates, etc'!E$37,'rates, dates, etc'!$N$2:$Z$10,8,FALSE)),IF('rates, dates, etc'!$B$7="Other",(HLOOKUP('rates, dates, etc'!E$37,'rates, dates, etc'!$N$2:$Z$10,7,FALSE)),(HLOOKUP('rates, dates, etc'!E$37,'rates, dates, etc'!$N$2:$Y$12,6,FALSE))))</f>
        <v>0.64</v>
      </c>
      <c r="S106" s="1">
        <f>IF('rates, dates, etc'!$B32="Off",(HLOOKUP('rates, dates, etc'!F$37,'rates, dates, etc'!$N$2:$Z$10,8,FALSE)),IF('rates, dates, etc'!$B$7="Other",(HLOOKUP('rates, dates, etc'!F$37,'rates, dates, etc'!$N$2:$Z$10,7,FALSE)),(HLOOKUP('rates, dates, etc'!F$37,'rates, dates, etc'!$N$2:$Y$12,6,FALSE))))</f>
        <v>0.64</v>
      </c>
      <c r="T106" s="1">
        <f>IF('rates, dates, etc'!$B32="Off",(HLOOKUP('rates, dates, etc'!G$37,'rates, dates, etc'!$N$2:$Z$10,8,FALSE)),IF('rates, dates, etc'!$B$7="Other",(HLOOKUP('rates, dates, etc'!G$37,'rates, dates, etc'!$N$2:$Z$10,7,FALSE)),(HLOOKUP('rates, dates, etc'!G$37,'rates, dates, etc'!$N$2:$Y$12,6,FALSE))))</f>
        <v>0.64</v>
      </c>
      <c r="U106" s="1">
        <f>IF('rates, dates, etc'!$B32="Off",(HLOOKUP('rates, dates, etc'!H$37,'rates, dates, etc'!$N$2:$Z$10,8,FALSE)),IF('rates, dates, etc'!$B$7="Other",(HLOOKUP('rates, dates, etc'!H$37,'rates, dates, etc'!$N$2:$Z$10,7,FALSE)),(HLOOKUP('rates, dates, etc'!H$37,'rates, dates, etc'!$N$2:$Y$12,6,FALSE))))</f>
        <v>0.64</v>
      </c>
      <c r="V106" s="1">
        <f>IF('rates, dates, etc'!$B32="Off",(HLOOKUP('rates, dates, etc'!I$37,'rates, dates, etc'!$N$2:$Z$10,8,FALSE)),IF('rates, dates, etc'!$B$7="Other",(HLOOKUP('rates, dates, etc'!I$37,'rates, dates, etc'!$N$2:$Z$10,7,FALSE)),(HLOOKUP('rates, dates, etc'!I$37,'rates, dates, etc'!$N$2:$Y$12,6,FALSE))))</f>
        <v>0.64</v>
      </c>
      <c r="W106" s="1">
        <f>IF('rates, dates, etc'!$B32="Off",(HLOOKUP('rates, dates, etc'!J$37,'rates, dates, etc'!$N$2:$Z$10,8,FALSE)),IF('rates, dates, etc'!$B$7="Other",(HLOOKUP('rates, dates, etc'!J$37,'rates, dates, etc'!$N$2:$Z$10,7,FALSE)),(HLOOKUP('rates, dates, etc'!J$37,'rates, dates, etc'!$N$2:$Y$12,6,FALSE))))</f>
        <v>0.64</v>
      </c>
      <c r="X106" s="1">
        <f>IF('rates, dates, etc'!$B32="Off",(HLOOKUP('rates, dates, etc'!K$37,'rates, dates, etc'!$N$2:$Z$10,8,FALSE)),IF('rates, dates, etc'!$B$7="Other",(HLOOKUP('rates, dates, etc'!K$37,'rates, dates, etc'!$N$2:$Z$10,7,FALSE)),(HLOOKUP('rates, dates, etc'!K$37,'rates, dates, etc'!$N$2:$Y$12,6,FALSE))))</f>
        <v>0.64</v>
      </c>
      <c r="Y106" s="1">
        <f>IF('rates, dates, etc'!$B32="Off",(HLOOKUP('rates, dates, etc'!L$37,'rates, dates, etc'!$N$2:$Z$10,8,FALSE)),IF('rates, dates, etc'!$B$7="Other",(HLOOKUP('rates, dates, etc'!L$37,'rates, dates, etc'!$N$2:$Z$10,7,FALSE)),(HLOOKUP('rates, dates, etc'!L$37,'rates, dates, etc'!$N$2:$Y$12,6,FALSE))))</f>
        <v>0.64</v>
      </c>
      <c r="Z106" s="1">
        <f>IF('rates, dates, etc'!$B32="Off",(HLOOKUP('rates, dates, etc'!M$37,'rates, dates, etc'!$N$2:$Z$10,8,FALSE)),IF('rates, dates, etc'!$B$7="Other",(HLOOKUP('rates, dates, etc'!M$37,'rates, dates, etc'!$N$2:$Z$10,7,FALSE)),(HLOOKUP('rates, dates, etc'!M$37,'rates, dates, etc'!$N$2:$Z$12,6,FALSE))))</f>
        <v>0.64</v>
      </c>
    </row>
    <row r="107" spans="1:26" x14ac:dyDescent="0.2">
      <c r="N107" s="2" t="str">
        <f>+'rates, dates, etc'!A42</f>
        <v/>
      </c>
      <c r="O107" s="1" t="str">
        <f>+'rates, dates, etc'!B42</f>
        <v/>
      </c>
      <c r="P107" s="1" t="str">
        <f>+'rates, dates, etc'!C42</f>
        <v/>
      </c>
      <c r="Q107" s="1" t="str">
        <f>+'rates, dates, etc'!D42</f>
        <v/>
      </c>
      <c r="R107" s="1" t="str">
        <f>+'rates, dates, etc'!E42</f>
        <v/>
      </c>
      <c r="S107" s="1" t="str">
        <f>+'rates, dates, etc'!F42</f>
        <v/>
      </c>
      <c r="T107" s="1" t="str">
        <f>+'rates, dates, etc'!G42</f>
        <v/>
      </c>
    </row>
    <row r="108" spans="1:26" x14ac:dyDescent="0.2">
      <c r="E108" s="342"/>
      <c r="F108" s="342"/>
      <c r="G108" s="342"/>
      <c r="H108" s="342"/>
      <c r="I108" s="342"/>
      <c r="J108" s="342"/>
      <c r="K108" s="342"/>
      <c r="L108" s="342"/>
      <c r="N108" s="1">
        <f>IF(OR('rates, dates, etc'!$B$32="Off",'rates, dates, etc'!$B$113="Off",'rates, dates, etc'!$B$194="Off",'rates, dates, etc'!$B$275="Off",'rates, dates, etc'!$B$356="Off",'rates, dates, etc'!$B$437="Off"),+'rates, dates, etc'!M9,0)</f>
        <v>0</v>
      </c>
      <c r="O108" s="1">
        <f>IF(OR('rates, dates, etc'!$B$32="Off",'rates, dates, etc'!$B$113="Off",'rates, dates, etc'!$B$194="Off",'rates, dates, etc'!$B$275="Off",'rates, dates, etc'!$B$356="Off",'rates, dates, etc'!$B$437="Off"),(HLOOKUP('rates, dates, etc'!B$37,'rates, dates, etc'!$N$2:$T$10,8,FALSE)),0)</f>
        <v>0</v>
      </c>
      <c r="P108" s="1">
        <f>IF(OR('rates, dates, etc'!$B$32="Off",'rates, dates, etc'!$B$113="Off",'rates, dates, etc'!$B$194="Off",'rates, dates, etc'!$B$275="Off",'rates, dates, etc'!$B$356="Off",'rates, dates, etc'!$B$437="Off"),(HLOOKUP('rates, dates, etc'!C$37,'rates, dates, etc'!$N$2:$T$10,8,FALSE)),0)</f>
        <v>0</v>
      </c>
      <c r="Q108" s="1">
        <f>IF(OR('rates, dates, etc'!$B$32="Off",'rates, dates, etc'!$B$113="Off",'rates, dates, etc'!$B$194="Off",'rates, dates, etc'!$B$275="Off",'rates, dates, etc'!$B$356="Off",'rates, dates, etc'!$B$437="Off"),(HLOOKUP('rates, dates, etc'!D$37,'rates, dates, etc'!$N$2:$T$10,8,FALSE)),0)</f>
        <v>0</v>
      </c>
      <c r="R108" s="1">
        <f>IF(OR('rates, dates, etc'!$B$32="Off",'rates, dates, etc'!$B$113="Off",'rates, dates, etc'!$B$194="Off",'rates, dates, etc'!$B$275="Off",'rates, dates, etc'!$B$356="Off",'rates, dates, etc'!$B$437="Off"),(HLOOKUP('rates, dates, etc'!E$37,'rates, dates, etc'!$N$2:$T$10,8,FALSE)),0)</f>
        <v>0</v>
      </c>
      <c r="S108" s="1">
        <f>IF(OR('rates, dates, etc'!$B$32="Off",'rates, dates, etc'!$B$113="Off",'rates, dates, etc'!$B$194="Off",'rates, dates, etc'!$B$275="Off",'rates, dates, etc'!$B$356="Off",'rates, dates, etc'!$B$437="Off"),(HLOOKUP('rates, dates, etc'!F$37,'rates, dates, etc'!$N$2:$T$10,8,FALSE)),0)</f>
        <v>0</v>
      </c>
      <c r="T108" s="1">
        <f>IF(OR('rates, dates, etc'!$B$32="Off",'rates, dates, etc'!$B$113="Off",'rates, dates, etc'!$B$194="Off",'rates, dates, etc'!$B$275="Off",'rates, dates, etc'!$B$356="Off",'rates, dates, etc'!$B$437="Off"),(HLOOKUP('rates, dates, etc'!G$37,'rates, dates, etc'!$N$2:$T$10,8,FALSE)),0)</f>
        <v>0</v>
      </c>
    </row>
    <row r="109" spans="1:26" x14ac:dyDescent="0.2">
      <c r="E109" s="343"/>
      <c r="F109" s="343"/>
      <c r="G109" s="343"/>
      <c r="H109" s="343"/>
      <c r="I109" s="343"/>
      <c r="J109" s="343"/>
      <c r="K109" s="343"/>
      <c r="L109" s="343"/>
      <c r="S109" s="343"/>
      <c r="T109" s="343"/>
    </row>
    <row r="110" spans="1:26" x14ac:dyDescent="0.2">
      <c r="E110" s="343"/>
      <c r="F110" s="343"/>
      <c r="G110" s="343"/>
      <c r="H110" s="343"/>
      <c r="I110" s="343"/>
      <c r="J110" s="343"/>
      <c r="K110" s="343"/>
      <c r="L110" s="343"/>
      <c r="N110" s="47" t="s">
        <v>119</v>
      </c>
      <c r="O110" s="9" t="s">
        <v>36</v>
      </c>
      <c r="P110" s="9" t="s">
        <v>52</v>
      </c>
    </row>
    <row r="111" spans="1:26" x14ac:dyDescent="0.2">
      <c r="E111" s="343"/>
      <c r="F111" s="343"/>
      <c r="G111" s="343"/>
      <c r="H111" s="343"/>
      <c r="I111" s="343"/>
      <c r="J111" s="343"/>
      <c r="K111" s="343"/>
      <c r="L111" s="343"/>
      <c r="N111" s="48" t="s">
        <v>46</v>
      </c>
      <c r="O111" s="44">
        <f>+'rates, dates, etc'!P41</f>
        <v>6</v>
      </c>
      <c r="P111" s="44">
        <f>+'rates, dates, etc'!Q41</f>
        <v>0.5</v>
      </c>
    </row>
    <row r="112" spans="1:26" x14ac:dyDescent="0.2">
      <c r="E112" s="343"/>
      <c r="F112" s="343"/>
      <c r="G112" s="343"/>
      <c r="H112" s="343"/>
      <c r="I112" s="343"/>
      <c r="J112" s="343"/>
      <c r="K112" s="343"/>
      <c r="L112" s="343"/>
      <c r="N112" s="48" t="s">
        <v>47</v>
      </c>
      <c r="O112" s="44">
        <f>+'rates, dates, etc'!P42</f>
        <v>6</v>
      </c>
      <c r="P112" s="44">
        <f>+'rates, dates, etc'!Q42</f>
        <v>0.5</v>
      </c>
    </row>
    <row r="113" spans="2:24" x14ac:dyDescent="0.2">
      <c r="B113" s="355"/>
      <c r="C113" s="355"/>
      <c r="D113" s="355"/>
      <c r="E113" s="355"/>
      <c r="F113" s="355"/>
      <c r="G113" s="355"/>
      <c r="H113" s="355"/>
      <c r="I113" s="355"/>
      <c r="J113" s="355"/>
      <c r="K113" s="355"/>
      <c r="N113" s="48"/>
      <c r="O113" s="49">
        <f>SUM(O111:O112)</f>
        <v>12</v>
      </c>
      <c r="P113" s="1" t="s">
        <v>83</v>
      </c>
    </row>
    <row r="114" spans="2:24" x14ac:dyDescent="0.2">
      <c r="N114" s="356"/>
    </row>
    <row r="115" spans="2:24" ht="12" thickBot="1" x14ac:dyDescent="0.25">
      <c r="N115" s="43" t="s">
        <v>71</v>
      </c>
      <c r="O115" s="9" t="str">
        <f>+'rates, dates, etc'!B85</f>
        <v>Year 1</v>
      </c>
      <c r="P115" s="9" t="str">
        <f>+'rates, dates, etc'!C85</f>
        <v>Year 2</v>
      </c>
      <c r="Q115" s="9" t="str">
        <f>+'rates, dates, etc'!D85</f>
        <v>Year 3</v>
      </c>
      <c r="R115" s="9" t="str">
        <f>+'rates, dates, etc'!E85</f>
        <v>Year 4</v>
      </c>
      <c r="S115" s="9" t="str">
        <f>+'rates, dates, etc'!F85</f>
        <v>Year 5</v>
      </c>
      <c r="T115" s="9" t="str">
        <f>+'rates, dates, etc'!G85</f>
        <v>Year 6</v>
      </c>
      <c r="U115" s="9" t="str">
        <f>+'rates, dates, etc'!H85</f>
        <v>Year 7</v>
      </c>
      <c r="V115" s="9" t="str">
        <f>+'rates, dates, etc'!I85</f>
        <v>Year 8</v>
      </c>
      <c r="W115" s="9" t="str">
        <f>+'rates, dates, etc'!J85</f>
        <v>Year 9</v>
      </c>
      <c r="X115" s="9" t="str">
        <f>+'rates, dates, etc'!K85</f>
        <v>Year 10</v>
      </c>
    </row>
    <row r="116" spans="2:24" x14ac:dyDescent="0.2">
      <c r="B116" s="355"/>
      <c r="C116" s="355"/>
      <c r="D116" s="355"/>
      <c r="E116" s="355"/>
      <c r="F116" s="355"/>
      <c r="G116" s="355"/>
      <c r="H116" s="355"/>
      <c r="I116" s="355"/>
      <c r="J116" s="355"/>
      <c r="K116" s="355"/>
      <c r="N116" s="14" t="s">
        <v>32</v>
      </c>
      <c r="O116" s="15">
        <f>+'Lead Budget'!O65+'Co-PI Budget (1)'!O65+'Co-PI Budget (2)'!O67+'Co-PI Budget (3)'!O67+'Co-PI Budget (4)'!O67+'Co-PI Budget (5)'!O67</f>
        <v>0</v>
      </c>
      <c r="P116" s="15">
        <f>+'Lead Budget'!P65+'Co-PI Budget (1)'!P65+'Co-PI Budget (2)'!P67+'Co-PI Budget (3)'!P67+'Co-PI Budget (4)'!P67+'Co-PI Budget (5)'!P67</f>
        <v>0</v>
      </c>
      <c r="Q116" s="15">
        <f>+'Lead Budget'!Q65+'Co-PI Budget (1)'!Q65+'Co-PI Budget (2)'!Q67+'Co-PI Budget (3)'!Q67+'Co-PI Budget (4)'!Q67+'Co-PI Budget (5)'!Q67</f>
        <v>0</v>
      </c>
      <c r="R116" s="15">
        <f>+'Lead Budget'!R65+'Co-PI Budget (1)'!R65+'Co-PI Budget (2)'!R67+'Co-PI Budget (3)'!R67+'Co-PI Budget (4)'!R67+'Co-PI Budget (5)'!R67</f>
        <v>0</v>
      </c>
      <c r="S116" s="15">
        <f>+'Lead Budget'!S65+'Co-PI Budget (1)'!S65+'Co-PI Budget (2)'!S67+'Co-PI Budget (3)'!S67+'Co-PI Budget (4)'!S67+'Co-PI Budget (5)'!S67</f>
        <v>0</v>
      </c>
      <c r="T116" s="15">
        <f>+'Lead Budget'!T65+'Co-PI Budget (1)'!Y65+'Co-PI Budget (2)'!T67+'Co-PI Budget (3)'!T67+'Co-PI Budget (4)'!T67+'Co-PI Budget (5)'!T67</f>
        <v>0</v>
      </c>
      <c r="U116" s="15">
        <f>+'Lead Budget'!U65+'Co-PI Budget (1)'!Z65+'Co-PI Budget (2)'!U67+'Co-PI Budget (3)'!U67+'Co-PI Budget (4)'!U67+'Co-PI Budget (5)'!U67</f>
        <v>0</v>
      </c>
      <c r="V116" s="15">
        <f>+'Lead Budget'!V65+'Co-PI Budget (1)'!AA65+'Co-PI Budget (2)'!V67+'Co-PI Budget (3)'!V67+'Co-PI Budget (4)'!V67+'Co-PI Budget (5)'!V67</f>
        <v>0</v>
      </c>
      <c r="W116" s="15">
        <f>+'Lead Budget'!W65+'Co-PI Budget (1)'!AB65+'Co-PI Budget (2)'!W67+'Co-PI Budget (3)'!W67+'Co-PI Budget (4)'!W67+'Co-PI Budget (5)'!W67</f>
        <v>0</v>
      </c>
      <c r="X116" s="15">
        <f>+'Lead Budget'!X65+'Co-PI Budget (1)'!AC65+'Co-PI Budget (2)'!X67+'Co-PI Budget (3)'!X67+'Co-PI Budget (4)'!X67+'Co-PI Budget (5)'!X67</f>
        <v>0</v>
      </c>
    </row>
    <row r="117" spans="2:24" x14ac:dyDescent="0.2">
      <c r="B117" s="355"/>
      <c r="C117" s="355"/>
      <c r="D117" s="355"/>
      <c r="E117" s="355"/>
      <c r="F117" s="355"/>
      <c r="G117" s="355"/>
      <c r="H117" s="355"/>
      <c r="I117" s="355"/>
      <c r="J117" s="355"/>
      <c r="K117" s="355"/>
      <c r="N117" s="3" t="s">
        <v>144</v>
      </c>
      <c r="O117" s="378">
        <f>+'Lead Budget'!O66+'Co-PI Budget (1)'!O66+'Co-PI Budget (2)'!O68+'Co-PI Budget (3)'!O68+'Co-PI Budget (4)'!O68+'Co-PI Budget (5)'!O68</f>
        <v>0</v>
      </c>
      <c r="P117" s="378">
        <f>+'Lead Budget'!P66+'Co-PI Budget (1)'!P66+'Co-PI Budget (2)'!P68+'Co-PI Budget (3)'!P68+'Co-PI Budget (4)'!P68+'Co-PI Budget (5)'!P68</f>
        <v>0</v>
      </c>
      <c r="Q117" s="378">
        <f>+'Lead Budget'!Q66+'Co-PI Budget (1)'!Q66+'Co-PI Budget (2)'!Q68+'Co-PI Budget (3)'!Q68+'Co-PI Budget (4)'!Q68+'Co-PI Budget (5)'!Q68</f>
        <v>0</v>
      </c>
      <c r="R117" s="378">
        <f>+'Lead Budget'!R66+'Co-PI Budget (1)'!R66+'Co-PI Budget (2)'!R68+'Co-PI Budget (3)'!R68+'Co-PI Budget (4)'!R68+'Co-PI Budget (5)'!R68</f>
        <v>0</v>
      </c>
      <c r="S117" s="378">
        <f>+'Lead Budget'!S66+'Co-PI Budget (1)'!S66+'Co-PI Budget (2)'!S68+'Co-PI Budget (3)'!S68+'Co-PI Budget (4)'!S68+'Co-PI Budget (5)'!S68</f>
        <v>0</v>
      </c>
      <c r="T117" s="378">
        <f>+'Lead Budget'!T66+'Co-PI Budget (1)'!T66+'Co-PI Budget (2)'!T68+'Co-PI Budget (3)'!T68+'Co-PI Budget (4)'!T68+'Co-PI Budget (5)'!T68</f>
        <v>0</v>
      </c>
      <c r="U117" s="378">
        <f>+'Lead Budget'!U66+'Co-PI Budget (1)'!U66+'Co-PI Budget (2)'!U68+'Co-PI Budget (3)'!U68+'Co-PI Budget (4)'!U68+'Co-PI Budget (5)'!U68</f>
        <v>0</v>
      </c>
      <c r="V117" s="378">
        <f>+'Lead Budget'!V66+'Co-PI Budget (1)'!V66+'Co-PI Budget (2)'!V68+'Co-PI Budget (3)'!V68+'Co-PI Budget (4)'!V68+'Co-PI Budget (5)'!V68</f>
        <v>0</v>
      </c>
      <c r="W117" s="378">
        <f>+'Lead Budget'!W66+'Co-PI Budget (1)'!W66+'Co-PI Budget (2)'!W68+'Co-PI Budget (3)'!W68+'Co-PI Budget (4)'!W68+'Co-PI Budget (5)'!W68</f>
        <v>0</v>
      </c>
      <c r="X117" s="378">
        <f>+'Lead Budget'!X66+'Co-PI Budget (1)'!X66+'Co-PI Budget (2)'!X68+'Co-PI Budget (3)'!X68+'Co-PI Budget (4)'!X68+'Co-PI Budget (5)'!X68</f>
        <v>0</v>
      </c>
    </row>
    <row r="118" spans="2:24" x14ac:dyDescent="0.2">
      <c r="B118" s="355"/>
      <c r="C118" s="355"/>
      <c r="D118" s="355"/>
      <c r="E118" s="355"/>
      <c r="F118" s="355"/>
      <c r="G118" s="355"/>
      <c r="H118" s="355"/>
      <c r="I118" s="355"/>
      <c r="J118" s="355"/>
      <c r="K118" s="355"/>
      <c r="N118" s="3" t="s">
        <v>145</v>
      </c>
      <c r="O118" s="378">
        <f>+'Lead Budget'!O67+'Co-PI Budget (1)'!O67+'Co-PI Budget (2)'!O69+'Co-PI Budget (3)'!O69+'Co-PI Budget (4)'!O69+'Co-PI Budget (5)'!O69</f>
        <v>0</v>
      </c>
      <c r="P118" s="378">
        <f>+'Lead Budget'!P67+'Co-PI Budget (1)'!P67+'Co-PI Budget (2)'!P69+'Co-PI Budget (3)'!P69+'Co-PI Budget (4)'!P69+'Co-PI Budget (5)'!P69</f>
        <v>0</v>
      </c>
      <c r="Q118" s="378">
        <f>+'Lead Budget'!Q67+'Co-PI Budget (1)'!Q67+'Co-PI Budget (2)'!Q69+'Co-PI Budget (3)'!Q69+'Co-PI Budget (4)'!Q69+'Co-PI Budget (5)'!Q69</f>
        <v>0</v>
      </c>
      <c r="R118" s="378">
        <f>+'Lead Budget'!R67+'Co-PI Budget (1)'!R67+'Co-PI Budget (2)'!R69+'Co-PI Budget (3)'!R69+'Co-PI Budget (4)'!R69+'Co-PI Budget (5)'!R69</f>
        <v>0</v>
      </c>
      <c r="S118" s="378">
        <f>+'Lead Budget'!S67+'Co-PI Budget (1)'!S67+'Co-PI Budget (2)'!S69+'Co-PI Budget (3)'!S69+'Co-PI Budget (4)'!S69+'Co-PI Budget (5)'!S69</f>
        <v>0</v>
      </c>
      <c r="T118" s="378">
        <f>+'Lead Budget'!T67+'Co-PI Budget (1)'!T67+'Co-PI Budget (2)'!T69+'Co-PI Budget (3)'!T69+'Co-PI Budget (4)'!T69+'Co-PI Budget (5)'!T69</f>
        <v>0</v>
      </c>
      <c r="U118" s="378">
        <f>+'Lead Budget'!U67+'Co-PI Budget (1)'!U67+'Co-PI Budget (2)'!U69+'Co-PI Budget (3)'!U69+'Co-PI Budget (4)'!U69+'Co-PI Budget (5)'!U69</f>
        <v>0</v>
      </c>
      <c r="V118" s="378">
        <f>+'Lead Budget'!V67+'Co-PI Budget (1)'!V67+'Co-PI Budget (2)'!V69+'Co-PI Budget (3)'!V69+'Co-PI Budget (4)'!V69+'Co-PI Budget (5)'!V69</f>
        <v>0</v>
      </c>
      <c r="W118" s="378">
        <f>+'Lead Budget'!W67+'Co-PI Budget (1)'!W67+'Co-PI Budget (2)'!W69+'Co-PI Budget (3)'!W69+'Co-PI Budget (4)'!W69+'Co-PI Budget (5)'!W69</f>
        <v>0</v>
      </c>
      <c r="X118" s="378">
        <f>+'Lead Budget'!X67+'Co-PI Budget (1)'!X67+'Co-PI Budget (2)'!X69+'Co-PI Budget (3)'!X69+'Co-PI Budget (4)'!X69+'Co-PI Budget (5)'!X69</f>
        <v>0</v>
      </c>
    </row>
    <row r="119" spans="2:24" x14ac:dyDescent="0.2">
      <c r="N119" s="3" t="s">
        <v>8</v>
      </c>
      <c r="O119" s="378">
        <f>+'Lead Budget'!O68+'Co-PI Budget (1)'!O68+'Co-PI Budget (2)'!O70+'Co-PI Budget (3)'!O70+'Co-PI Budget (4)'!O70+'Co-PI Budget (5)'!O70</f>
        <v>0</v>
      </c>
      <c r="P119" s="378">
        <f>+'Lead Budget'!P68+'Co-PI Budget (1)'!P68+'Co-PI Budget (2)'!P70+'Co-PI Budget (3)'!P70+'Co-PI Budget (4)'!P70+'Co-PI Budget (5)'!P70</f>
        <v>0</v>
      </c>
      <c r="Q119" s="378">
        <f>+'Lead Budget'!Q68+'Co-PI Budget (1)'!Q68+'Co-PI Budget (2)'!Q70+'Co-PI Budget (3)'!Q70+'Co-PI Budget (4)'!Q70+'Co-PI Budget (5)'!Q70</f>
        <v>0</v>
      </c>
      <c r="R119" s="378">
        <f>+'Lead Budget'!R68+'Co-PI Budget (1)'!R68+'Co-PI Budget (2)'!R70+'Co-PI Budget (3)'!R70+'Co-PI Budget (4)'!R70+'Co-PI Budget (5)'!R70</f>
        <v>0</v>
      </c>
      <c r="S119" s="378">
        <f>+'Lead Budget'!S68+'Co-PI Budget (1)'!S68+'Co-PI Budget (2)'!S70+'Co-PI Budget (3)'!S70+'Co-PI Budget (4)'!S70+'Co-PI Budget (5)'!S70</f>
        <v>0</v>
      </c>
      <c r="T119" s="378">
        <f>+'Lead Budget'!T68+'Co-PI Budget (1)'!T68+'Co-PI Budget (2)'!T70+'Co-PI Budget (3)'!T70+'Co-PI Budget (4)'!T70+'Co-PI Budget (5)'!T70</f>
        <v>0</v>
      </c>
      <c r="U119" s="378">
        <f>+'Lead Budget'!U68+'Co-PI Budget (1)'!U68+'Co-PI Budget (2)'!U70+'Co-PI Budget (3)'!U70+'Co-PI Budget (4)'!U70+'Co-PI Budget (5)'!U70</f>
        <v>0</v>
      </c>
      <c r="V119" s="378">
        <f>+'Lead Budget'!V68+'Co-PI Budget (1)'!V68+'Co-PI Budget (2)'!V70+'Co-PI Budget (3)'!V70+'Co-PI Budget (4)'!V70+'Co-PI Budget (5)'!V70</f>
        <v>0</v>
      </c>
      <c r="W119" s="378">
        <f>+'Lead Budget'!W68+'Co-PI Budget (1)'!W68+'Co-PI Budget (2)'!W70+'Co-PI Budget (3)'!W70+'Co-PI Budget (4)'!W70+'Co-PI Budget (5)'!W70</f>
        <v>0</v>
      </c>
      <c r="X119" s="378">
        <f>+'Lead Budget'!X68+'Co-PI Budget (1)'!X68+'Co-PI Budget (2)'!X70+'Co-PI Budget (3)'!X70+'Co-PI Budget (4)'!X70+'Co-PI Budget (5)'!X70</f>
        <v>0</v>
      </c>
    </row>
    <row r="120" spans="2:24" x14ac:dyDescent="0.2">
      <c r="N120" s="3" t="s">
        <v>9</v>
      </c>
      <c r="O120" s="378">
        <f>+'Lead Budget'!O69+'Co-PI Budget (1)'!O69+'Co-PI Budget (2)'!O71+'Co-PI Budget (3)'!O71+'Co-PI Budget (4)'!O71+'Co-PI Budget (5)'!O71</f>
        <v>0</v>
      </c>
      <c r="P120" s="378">
        <f>+'Lead Budget'!P69+'Co-PI Budget (1)'!P69+'Co-PI Budget (2)'!P71+'Co-PI Budget (3)'!P71+'Co-PI Budget (4)'!P71+'Co-PI Budget (5)'!P71</f>
        <v>0</v>
      </c>
      <c r="Q120" s="378">
        <f>+'Lead Budget'!Q69+'Co-PI Budget (1)'!Q69+'Co-PI Budget (2)'!Q71+'Co-PI Budget (3)'!Q71+'Co-PI Budget (4)'!Q71+'Co-PI Budget (5)'!Q71</f>
        <v>0</v>
      </c>
      <c r="R120" s="378">
        <f>+'Lead Budget'!R69+'Co-PI Budget (1)'!R69+'Co-PI Budget (2)'!R71+'Co-PI Budget (3)'!R71+'Co-PI Budget (4)'!R71+'Co-PI Budget (5)'!R71</f>
        <v>0</v>
      </c>
      <c r="S120" s="378">
        <f>+'Lead Budget'!S69+'Co-PI Budget (1)'!S69+'Co-PI Budget (2)'!S71+'Co-PI Budget (3)'!S71+'Co-PI Budget (4)'!S71+'Co-PI Budget (5)'!S71</f>
        <v>0</v>
      </c>
      <c r="T120" s="378">
        <f>+'Lead Budget'!T69+'Co-PI Budget (1)'!T69+'Co-PI Budget (2)'!T71+'Co-PI Budget (3)'!T71+'Co-PI Budget (4)'!T71+'Co-PI Budget (5)'!T71</f>
        <v>0</v>
      </c>
      <c r="U120" s="378">
        <f>+'Lead Budget'!U69+'Co-PI Budget (1)'!U69+'Co-PI Budget (2)'!U71+'Co-PI Budget (3)'!U71+'Co-PI Budget (4)'!U71+'Co-PI Budget (5)'!U71</f>
        <v>0</v>
      </c>
      <c r="V120" s="378">
        <f>+'Lead Budget'!V69+'Co-PI Budget (1)'!V69+'Co-PI Budget (2)'!V71+'Co-PI Budget (3)'!V71+'Co-PI Budget (4)'!V71+'Co-PI Budget (5)'!V71</f>
        <v>0</v>
      </c>
      <c r="W120" s="378">
        <f>+'Lead Budget'!W69+'Co-PI Budget (1)'!W69+'Co-PI Budget (2)'!W71+'Co-PI Budget (3)'!W71+'Co-PI Budget (4)'!W71+'Co-PI Budget (5)'!W71</f>
        <v>0</v>
      </c>
      <c r="X120" s="378">
        <f>+'Lead Budget'!X69+'Co-PI Budget (1)'!X69+'Co-PI Budget (2)'!X71+'Co-PI Budget (3)'!X71+'Co-PI Budget (4)'!X71+'Co-PI Budget (5)'!X71</f>
        <v>0</v>
      </c>
    </row>
    <row r="121" spans="2:24" ht="12" thickBot="1" x14ac:dyDescent="0.25">
      <c r="N121" s="13" t="s">
        <v>31</v>
      </c>
      <c r="O121" s="379">
        <f>ROUND(SUM(O117:O120),0)</f>
        <v>0</v>
      </c>
      <c r="P121" s="379">
        <f t="shared" ref="P121:S121" si="42">ROUND(SUM(P117:P120),0)</f>
        <v>0</v>
      </c>
      <c r="Q121" s="379">
        <f t="shared" si="42"/>
        <v>0</v>
      </c>
      <c r="R121" s="379">
        <f t="shared" si="42"/>
        <v>0</v>
      </c>
      <c r="S121" s="379">
        <f t="shared" si="42"/>
        <v>0</v>
      </c>
      <c r="T121" s="379">
        <f t="shared" ref="T121:X121" si="43">ROUND(SUM(T117:T120),0)</f>
        <v>0</v>
      </c>
      <c r="U121" s="379">
        <f t="shared" si="43"/>
        <v>0</v>
      </c>
      <c r="V121" s="379">
        <f t="shared" si="43"/>
        <v>0</v>
      </c>
      <c r="W121" s="379">
        <f t="shared" si="43"/>
        <v>0</v>
      </c>
      <c r="X121" s="379">
        <f t="shared" si="43"/>
        <v>0</v>
      </c>
    </row>
    <row r="122" spans="2:24" x14ac:dyDescent="0.2">
      <c r="B122" s="343"/>
      <c r="C122" s="343"/>
      <c r="D122" s="343"/>
      <c r="E122" s="343"/>
      <c r="F122" s="343"/>
      <c r="G122" s="343"/>
      <c r="H122" s="343"/>
      <c r="I122" s="343"/>
      <c r="J122" s="343"/>
      <c r="K122" s="343"/>
    </row>
    <row r="123" spans="2:24" x14ac:dyDescent="0.2">
      <c r="B123" s="343"/>
      <c r="C123" s="343"/>
      <c r="D123" s="343"/>
      <c r="E123" s="343"/>
      <c r="F123" s="343"/>
      <c r="G123" s="343"/>
      <c r="H123" s="343"/>
      <c r="I123" s="343"/>
      <c r="J123" s="343"/>
      <c r="K123" s="343"/>
    </row>
    <row r="124" spans="2:24" x14ac:dyDescent="0.2">
      <c r="B124" s="343"/>
      <c r="C124" s="343"/>
      <c r="D124" s="343"/>
      <c r="E124" s="343"/>
      <c r="F124" s="343"/>
      <c r="G124" s="343"/>
      <c r="H124" s="343"/>
      <c r="I124" s="343"/>
      <c r="J124" s="343"/>
      <c r="K124" s="343"/>
      <c r="O124" s="357">
        <f>+'Lead Budget'!L56</f>
        <v>0</v>
      </c>
      <c r="P124" s="380" t="str">
        <f ca="1">""&amp;MID('rates, dates, etc'!AR2,FIND("]",'rates, dates, etc'!AR2)+1,25)</f>
        <v>Lead Budget</v>
      </c>
      <c r="Q124" s="342"/>
    </row>
    <row r="125" spans="2:24" x14ac:dyDescent="0.2">
      <c r="O125" s="5">
        <f>+'Co-PI Budget (1)'!L56</f>
        <v>0</v>
      </c>
      <c r="P125" s="380" t="str">
        <f ca="1">""&amp;MID('rates, dates, etc'!AR3,FIND("]",'rates, dates, etc'!AR3)+1,25)</f>
        <v>Co-PI Budget (1)</v>
      </c>
      <c r="Q125" s="343"/>
    </row>
    <row r="126" spans="2:24" x14ac:dyDescent="0.2">
      <c r="B126" s="343"/>
      <c r="C126" s="343"/>
      <c r="D126" s="343"/>
      <c r="E126" s="343"/>
      <c r="F126" s="343"/>
      <c r="G126" s="343"/>
      <c r="H126" s="343"/>
      <c r="I126" s="343"/>
      <c r="J126" s="343"/>
      <c r="K126" s="343"/>
      <c r="O126" s="5">
        <f>+'Co-PI Budget (2)'!L58</f>
        <v>0</v>
      </c>
      <c r="P126" s="380" t="str">
        <f ca="1">""&amp;MID('rates, dates, etc'!AR4,FIND("]",'rates, dates, etc'!AR4)+1,25)</f>
        <v>Co-PI Budget (2)</v>
      </c>
      <c r="Q126" s="343"/>
    </row>
    <row r="127" spans="2:24" x14ac:dyDescent="0.2">
      <c r="O127" s="5">
        <f>+'Co-PI Budget (3)'!L58</f>
        <v>0</v>
      </c>
      <c r="P127" s="380" t="str">
        <f ca="1">""&amp;MID('rates, dates, etc'!AR5,FIND("]",'rates, dates, etc'!AR5)+1,25)</f>
        <v>Co-PI Budget (3)</v>
      </c>
      <c r="Q127" s="343"/>
    </row>
    <row r="128" spans="2:24" x14ac:dyDescent="0.2">
      <c r="O128" s="5">
        <f>+'Co-PI Budget (4)'!L58</f>
        <v>0</v>
      </c>
      <c r="P128" s="380" t="str">
        <f ca="1">""&amp;MID('rates, dates, etc'!AR6,FIND("]",'rates, dates, etc'!AR6)+1,25)</f>
        <v>Co-PI Budget (4)</v>
      </c>
      <c r="Q128" s="343"/>
    </row>
    <row r="129" spans="15:16" x14ac:dyDescent="0.2">
      <c r="O129" s="5">
        <f>+'Co-PI Budget (5)'!L58</f>
        <v>0</v>
      </c>
      <c r="P129" s="380" t="str">
        <f ca="1">""&amp;MID('rates, dates, etc'!AR7,FIND("]",'rates, dates, etc'!AR7)+1,25)</f>
        <v>Co-PI Budget (5)</v>
      </c>
    </row>
    <row r="130" spans="15:16" x14ac:dyDescent="0.2">
      <c r="O130" s="5">
        <f>SUM(O124:O129)</f>
        <v>0</v>
      </c>
      <c r="P130" s="381" t="s">
        <v>126</v>
      </c>
    </row>
  </sheetData>
  <conditionalFormatting sqref="A99:L99">
    <cfRule type="expression" dxfId="24" priority="2">
      <formula>$L$103&lt;$L$104</formula>
    </cfRule>
  </conditionalFormatting>
  <conditionalFormatting sqref="A100:L100">
    <cfRule type="expression" dxfId="22" priority="4">
      <formula>$L$104&lt;$L$103</formula>
    </cfRule>
  </conditionalFormatting>
  <conditionalFormatting sqref="A103:L103">
    <cfRule type="expression" dxfId="21" priority="9">
      <formula>$L$103&lt;$L$104</formula>
    </cfRule>
  </conditionalFormatting>
  <conditionalFormatting sqref="A104:L104">
    <cfRule type="expression" dxfId="19" priority="11">
      <formula>$L$104&lt;$L$103</formula>
    </cfRule>
  </conditionalFormatting>
  <conditionalFormatting sqref="N108:T108">
    <cfRule type="cellIs" dxfId="18" priority="5" operator="equal">
      <formula>0</formula>
    </cfRule>
  </conditionalFormatting>
  <printOptions horizontalCentered="1"/>
  <pageMargins left="0.75" right="0.53" top="0.7" bottom="0.64" header="0.5" footer="0.5"/>
  <pageSetup scale="66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41B32B9D-7B58-450A-A162-4EA515617F29}">
            <xm:f>'rates, dates, etc'!$B$8="Yes"</xm:f>
            <x14:dxf/>
          </x14:cfRule>
          <xm:sqref>A99:L99</xm:sqref>
        </x14:conditionalFormatting>
        <x14:conditionalFormatting xmlns:xm="http://schemas.microsoft.com/office/excel/2006/main">
          <x14:cfRule type="expression" priority="3" stopIfTrue="1" id="{498F252D-B6D8-4F18-9308-F48C8FFEF44B}">
            <xm:f>'rates, dates, etc'!$B$8="Yes"</xm:f>
            <x14:dxf>
              <font>
                <color rgb="FFFF0000"/>
              </font>
            </x14:dxf>
          </x14:cfRule>
          <xm:sqref>A100:L100</xm:sqref>
        </x14:conditionalFormatting>
        <x14:conditionalFormatting xmlns:xm="http://schemas.microsoft.com/office/excel/2006/main">
          <x14:cfRule type="expression" priority="8" stopIfTrue="1" id="{75EB4731-FBFC-4080-8E2F-D73A1455510E}">
            <xm:f>'rates, dates, etc'!$B$8="Yes"</xm:f>
            <x14:dxf/>
          </x14:cfRule>
          <xm:sqref>A103:L103</xm:sqref>
        </x14:conditionalFormatting>
        <x14:conditionalFormatting xmlns:xm="http://schemas.microsoft.com/office/excel/2006/main">
          <x14:cfRule type="expression" priority="10" stopIfTrue="1" id="{FDC8CF34-CB8D-4A91-90C7-0BF30AC95823}">
            <xm:f>'rates, dates, etc'!$B$8="Yes"</xm:f>
            <x14:dxf>
              <font>
                <color rgb="FFFF0000"/>
              </font>
            </x14:dxf>
          </x14:cfRule>
          <xm:sqref>A104:L104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39997558519241921"/>
    <pageSetUpPr fitToPage="1"/>
  </sheetPr>
  <dimension ref="A1:Z102"/>
  <sheetViews>
    <sheetView topLeftCell="A27" zoomScale="130" zoomScaleNormal="130" workbookViewId="0">
      <selection activeCell="A45" sqref="A45"/>
    </sheetView>
  </sheetViews>
  <sheetFormatPr defaultColWidth="9.140625" defaultRowHeight="11.25" x14ac:dyDescent="0.2"/>
  <cols>
    <col min="1" max="1" width="33.42578125" style="1" customWidth="1"/>
    <col min="2" max="11" width="8.42578125" style="1" customWidth="1"/>
    <col min="12" max="12" width="9.5703125" style="2" bestFit="1" customWidth="1"/>
    <col min="13" max="13" width="11" style="2" customWidth="1"/>
    <col min="14" max="14" width="29.140625" style="2" customWidth="1"/>
    <col min="15" max="16" width="9.85546875" style="2" customWidth="1"/>
    <col min="17" max="18" width="9.7109375" style="1" customWidth="1"/>
    <col min="19" max="16384" width="9.140625" style="1"/>
  </cols>
  <sheetData>
    <row r="1" spans="1:13" ht="12.75" x14ac:dyDescent="0.2">
      <c r="A1" s="67">
        <f>+'rates, dates, etc'!B4</f>
        <v>0</v>
      </c>
      <c r="D1" s="56"/>
    </row>
    <row r="2" spans="1:13" ht="12.75" x14ac:dyDescent="0.2">
      <c r="A2" s="67" t="str">
        <f>+'rates, dates, etc'!B3</f>
        <v>NSF</v>
      </c>
      <c r="M2" s="56"/>
    </row>
    <row r="3" spans="1:13" ht="12.75" customHeight="1" thickBot="1" x14ac:dyDescent="0.25"/>
    <row r="4" spans="1:13" x14ac:dyDescent="0.2">
      <c r="A4" s="68" t="str">
        <f ca="1">CONCATENATE("Cornell University - ",'rates, dates, etc'!A14)</f>
        <v>Cornell University - Lead Budget</v>
      </c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242"/>
    </row>
    <row r="5" spans="1:13" ht="12" thickBot="1" x14ac:dyDescent="0.25">
      <c r="A5" s="68" t="str">
        <f>CONCATENATE("PI: ",'rates, dates, etc'!B14)</f>
        <v>PI: PI</v>
      </c>
      <c r="B5" s="243">
        <f>+'rates, dates, etc'!B5</f>
        <v>45658</v>
      </c>
      <c r="C5" s="243">
        <f>+B6+1</f>
        <v>46023</v>
      </c>
      <c r="D5" s="243">
        <f t="shared" ref="D5:G5" si="0">+C6+1</f>
        <v>46388</v>
      </c>
      <c r="E5" s="243">
        <f t="shared" si="0"/>
        <v>46753</v>
      </c>
      <c r="F5" s="243">
        <f t="shared" si="0"/>
        <v>47119</v>
      </c>
      <c r="G5" s="243">
        <f t="shared" si="0"/>
        <v>47484</v>
      </c>
      <c r="H5" s="243">
        <f t="shared" ref="H5" si="1">+G6+1</f>
        <v>47849</v>
      </c>
      <c r="I5" s="243">
        <f t="shared" ref="I5" si="2">+H6+1</f>
        <v>48214</v>
      </c>
      <c r="J5" s="243">
        <f t="shared" ref="J5" si="3">+I6+1</f>
        <v>48580</v>
      </c>
      <c r="K5" s="243">
        <f t="shared" ref="K5" si="4">+J6+1</f>
        <v>48945</v>
      </c>
      <c r="L5" s="244"/>
    </row>
    <row r="6" spans="1:13" ht="12" thickBot="1" x14ac:dyDescent="0.25">
      <c r="A6" s="71" t="s">
        <v>4</v>
      </c>
      <c r="B6" s="245">
        <f>DATE(YEAR(B5), MONTH(B5) + 12, DAY(B5))-1</f>
        <v>46022</v>
      </c>
      <c r="C6" s="245">
        <f t="shared" ref="C6:F6" si="5">DATE(YEAR(C5), MONTH(C5) + 12, DAY(C5))-1</f>
        <v>46387</v>
      </c>
      <c r="D6" s="245">
        <f t="shared" si="5"/>
        <v>46752</v>
      </c>
      <c r="E6" s="245">
        <f t="shared" si="5"/>
        <v>47118</v>
      </c>
      <c r="F6" s="245">
        <f t="shared" si="5"/>
        <v>47483</v>
      </c>
      <c r="G6" s="245">
        <f t="shared" ref="G6:K6" si="6">DATE(YEAR(G5), MONTH(G5) + 12, DAY(G5))-1</f>
        <v>47848</v>
      </c>
      <c r="H6" s="245">
        <f t="shared" si="6"/>
        <v>48213</v>
      </c>
      <c r="I6" s="245">
        <f t="shared" si="6"/>
        <v>48579</v>
      </c>
      <c r="J6" s="245">
        <f t="shared" si="6"/>
        <v>48944</v>
      </c>
      <c r="K6" s="245">
        <f t="shared" si="6"/>
        <v>49309</v>
      </c>
      <c r="L6" s="262" t="s">
        <v>5</v>
      </c>
    </row>
    <row r="7" spans="1:13" x14ac:dyDescent="0.2">
      <c r="A7" s="74" t="s">
        <v>111</v>
      </c>
      <c r="L7" s="8" t="s">
        <v>6</v>
      </c>
    </row>
    <row r="8" spans="1:13" x14ac:dyDescent="0.2">
      <c r="A8" s="3" t="str">
        <f>+'rates, dates, etc'!A48</f>
        <v>PI</v>
      </c>
      <c r="B8" s="17">
        <f>HLOOKUP(B$4,'rates, dates, etc'!B47:L53,7,FALSE)</f>
        <v>0</v>
      </c>
      <c r="C8" s="17">
        <f>HLOOKUP(C$4,'rates, dates, etc'!C47:N53,7,FALSE)</f>
        <v>0</v>
      </c>
      <c r="D8" s="17">
        <f>HLOOKUP(D$4,'rates, dates, etc'!D47:O53,7,FALSE)</f>
        <v>0</v>
      </c>
      <c r="E8" s="17">
        <f>HLOOKUP(E$4,'rates, dates, etc'!E47:P53,7,FALSE)</f>
        <v>0</v>
      </c>
      <c r="F8" s="17">
        <f>HLOOKUP(F$4,'rates, dates, etc'!F47:Q53,7,FALSE)</f>
        <v>0</v>
      </c>
      <c r="G8" s="17">
        <f>HLOOKUP(G$4,'rates, dates, etc'!G47:R53,7,FALSE)</f>
        <v>0</v>
      </c>
      <c r="H8" s="17">
        <f>HLOOKUP(H$4,'rates, dates, etc'!H47:S53,7,FALSE)</f>
        <v>0</v>
      </c>
      <c r="I8" s="17">
        <f>HLOOKUP(I$4,'rates, dates, etc'!I47:T53,7,FALSE)</f>
        <v>0</v>
      </c>
      <c r="J8" s="17">
        <f>HLOOKUP(J$4,'rates, dates, etc'!J47:V53,7,FALSE)</f>
        <v>0</v>
      </c>
      <c r="K8" s="17">
        <f>HLOOKUP(K$4,'rates, dates, etc'!K47:V53,7,FALSE)</f>
        <v>0</v>
      </c>
      <c r="L8" s="83">
        <f>SUM(B8:K8)</f>
        <v>0</v>
      </c>
    </row>
    <row r="9" spans="1:13" x14ac:dyDescent="0.2">
      <c r="A9" s="3" t="str">
        <f>+'rates, dates, etc'!A56</f>
        <v>Co-PI</v>
      </c>
      <c r="B9" s="17">
        <f>HLOOKUP(B$4,'rates, dates, etc'!B55:L61,7,FALSE)</f>
        <v>0</v>
      </c>
      <c r="C9" s="17">
        <f>HLOOKUP(C$4,'rates, dates, etc'!C55:N61,7,FALSE)</f>
        <v>0</v>
      </c>
      <c r="D9" s="17">
        <f>HLOOKUP(D$4,'rates, dates, etc'!D55:O61,7,FALSE)</f>
        <v>0</v>
      </c>
      <c r="E9" s="17">
        <f>HLOOKUP(E$4,'rates, dates, etc'!E55:P61,7,FALSE)</f>
        <v>0</v>
      </c>
      <c r="F9" s="17">
        <f>HLOOKUP(F$4,'rates, dates, etc'!F55:Q61,7,FALSE)</f>
        <v>0</v>
      </c>
      <c r="G9" s="17">
        <f>HLOOKUP(G$4,'rates, dates, etc'!G55:R61,7,FALSE)</f>
        <v>0</v>
      </c>
      <c r="H9" s="17">
        <f>HLOOKUP(H$4,'rates, dates, etc'!H55:S61,7,FALSE)</f>
        <v>0</v>
      </c>
      <c r="I9" s="17">
        <f>HLOOKUP(I$4,'rates, dates, etc'!I55:T61,7,FALSE)</f>
        <v>0</v>
      </c>
      <c r="J9" s="17">
        <f>HLOOKUP(J$4,'rates, dates, etc'!J55:V61,7,FALSE)</f>
        <v>0</v>
      </c>
      <c r="K9" s="17">
        <f>HLOOKUP(K$4,'rates, dates, etc'!K55:V61,7,FALSE)</f>
        <v>0</v>
      </c>
      <c r="L9" s="83">
        <f t="shared" ref="L9:L10" si="7">SUM(B9:K9)</f>
        <v>0</v>
      </c>
    </row>
    <row r="10" spans="1:13" x14ac:dyDescent="0.2">
      <c r="A10" s="3" t="str">
        <f>+'rates, dates, etc'!A64</f>
        <v>Co-PI</v>
      </c>
      <c r="B10" s="17">
        <f>HLOOKUP(B$4,'rates, dates, etc'!B63:L69,7,FALSE)</f>
        <v>0</v>
      </c>
      <c r="C10" s="17">
        <f>HLOOKUP(C$4,'rates, dates, etc'!C63:N69,7,FALSE)</f>
        <v>0</v>
      </c>
      <c r="D10" s="17">
        <f>HLOOKUP(D$4,'rates, dates, etc'!D63:O69,7,FALSE)</f>
        <v>0</v>
      </c>
      <c r="E10" s="17">
        <f>HLOOKUP(E$4,'rates, dates, etc'!E63:P69,7,FALSE)</f>
        <v>0</v>
      </c>
      <c r="F10" s="17">
        <f>HLOOKUP(F$4,'rates, dates, etc'!F63:Q69,7,FALSE)</f>
        <v>0</v>
      </c>
      <c r="G10" s="17">
        <f>HLOOKUP(G$4,'rates, dates, etc'!G63:R69,7,FALSE)</f>
        <v>0</v>
      </c>
      <c r="H10" s="17">
        <f>HLOOKUP(H$4,'rates, dates, etc'!H63:S69,7,FALSE)</f>
        <v>0</v>
      </c>
      <c r="I10" s="17">
        <f>HLOOKUP(I$4,'rates, dates, etc'!I63:T69,7,FALSE)</f>
        <v>0</v>
      </c>
      <c r="J10" s="17">
        <f>HLOOKUP(J$4,'rates, dates, etc'!J63:V69,7,FALSE)</f>
        <v>0</v>
      </c>
      <c r="K10" s="17">
        <f>HLOOKUP(K$4,'rates, dates, etc'!K63:V69,7,FALSE)</f>
        <v>0</v>
      </c>
      <c r="L10" s="83">
        <f t="shared" si="7"/>
        <v>0</v>
      </c>
    </row>
    <row r="11" spans="1:13" ht="12" thickBot="1" x14ac:dyDescent="0.25">
      <c r="A11" s="76" t="str">
        <f>CONCATENATE("Total ",A7)</f>
        <v>Total Senior Personnel Salary</v>
      </c>
      <c r="B11" s="6">
        <f>SUM(B7:B10)</f>
        <v>0</v>
      </c>
      <c r="C11" s="6">
        <f t="shared" ref="C11:F11" si="8">SUM(C7:C10)</f>
        <v>0</v>
      </c>
      <c r="D11" s="6">
        <f t="shared" si="8"/>
        <v>0</v>
      </c>
      <c r="E11" s="6">
        <f t="shared" si="8"/>
        <v>0</v>
      </c>
      <c r="F11" s="6">
        <f t="shared" si="8"/>
        <v>0</v>
      </c>
      <c r="G11" s="6">
        <f t="shared" ref="G11:K11" si="9">SUM(G7:G10)</f>
        <v>0</v>
      </c>
      <c r="H11" s="6">
        <f t="shared" si="9"/>
        <v>0</v>
      </c>
      <c r="I11" s="6">
        <f t="shared" si="9"/>
        <v>0</v>
      </c>
      <c r="J11" s="6">
        <f t="shared" si="9"/>
        <v>0</v>
      </c>
      <c r="K11" s="6">
        <f t="shared" si="9"/>
        <v>0</v>
      </c>
      <c r="L11" s="86">
        <f>SUM(L7:L10)</f>
        <v>0</v>
      </c>
    </row>
    <row r="12" spans="1:13" x14ac:dyDescent="0.2">
      <c r="A12" s="75" t="s">
        <v>112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83"/>
    </row>
    <row r="13" spans="1:13" x14ac:dyDescent="0.2">
      <c r="A13" s="3" t="str">
        <f>+'rates, dates, etc'!A72</f>
        <v>Post Doctoral Scholar(s)</v>
      </c>
      <c r="B13" s="5">
        <f>HLOOKUP(B$4,'rates, dates, etc'!B71:I76,6,FALSE)</f>
        <v>0</v>
      </c>
      <c r="C13" s="5">
        <f>HLOOKUP(C$4,'rates, dates, etc'!C71:O76,6,FALSE)</f>
        <v>0</v>
      </c>
      <c r="D13" s="5">
        <f>HLOOKUP(D$4,'rates, dates, etc'!D71:P76,6,FALSE)</f>
        <v>0</v>
      </c>
      <c r="E13" s="5">
        <f>HLOOKUP(E$4,'rates, dates, etc'!E71:Q76,6,FALSE)</f>
        <v>0</v>
      </c>
      <c r="F13" s="5">
        <f>HLOOKUP(F$4,'rates, dates, etc'!F71:R76,6,FALSE)</f>
        <v>0</v>
      </c>
      <c r="G13" s="5">
        <f>HLOOKUP(G$4,'rates, dates, etc'!G71:S76,6,FALSE)</f>
        <v>0</v>
      </c>
      <c r="H13" s="5">
        <f>HLOOKUP(H$4,'rates, dates, etc'!H71:T76,6,FALSE)</f>
        <v>0</v>
      </c>
      <c r="I13" s="5">
        <f>HLOOKUP(I$4,'rates, dates, etc'!I71:U76,6,FALSE)</f>
        <v>0</v>
      </c>
      <c r="J13" s="5">
        <f>HLOOKUP(J$4,'rates, dates, etc'!J71:V76,6,FALSE)</f>
        <v>0</v>
      </c>
      <c r="K13" s="5">
        <f>HLOOKUP(K$4,'rates, dates, etc'!K71:W76,6,FALSE)</f>
        <v>0</v>
      </c>
      <c r="L13" s="83">
        <f>SUM(B13:K13)</f>
        <v>0</v>
      </c>
    </row>
    <row r="14" spans="1:13" x14ac:dyDescent="0.2">
      <c r="A14" s="3" t="str">
        <f>+'rates, dates, etc'!A79</f>
        <v>Other Professional(s) (Technicians, etc)</v>
      </c>
      <c r="B14" s="5">
        <f>HLOOKUP(B$4,'rates, dates, etc'!B78:I83,6,FALSE)</f>
        <v>0</v>
      </c>
      <c r="C14" s="5">
        <f>HLOOKUP(C$4,'rates, dates, etc'!C78:O83,6,FALSE)</f>
        <v>0</v>
      </c>
      <c r="D14" s="5">
        <f>HLOOKUP(D$4,'rates, dates, etc'!D78:P83,6,FALSE)</f>
        <v>0</v>
      </c>
      <c r="E14" s="5">
        <f>HLOOKUP(E$4,'rates, dates, etc'!E78:Q83,6,FALSE)</f>
        <v>0</v>
      </c>
      <c r="F14" s="5">
        <f>HLOOKUP(F$4,'rates, dates, etc'!F78:R83,6,FALSE)</f>
        <v>0</v>
      </c>
      <c r="G14" s="5">
        <f>HLOOKUP(G$4,'rates, dates, etc'!G78:S83,6,FALSE)</f>
        <v>0</v>
      </c>
      <c r="H14" s="5">
        <f>HLOOKUP(H$4,'rates, dates, etc'!H78:T83,6,FALSE)</f>
        <v>0</v>
      </c>
      <c r="I14" s="5">
        <f>HLOOKUP(I$4,'rates, dates, etc'!I78:U83,6,FALSE)</f>
        <v>0</v>
      </c>
      <c r="J14" s="5">
        <f>HLOOKUP(J$4,'rates, dates, etc'!J78:V83,6,FALSE)</f>
        <v>0</v>
      </c>
      <c r="K14" s="5">
        <f>HLOOKUP(K$4,'rates, dates, etc'!K78:W83,6,FALSE)</f>
        <v>0</v>
      </c>
      <c r="L14" s="83">
        <f t="shared" ref="L14:L17" si="10">SUM(B14:K14)</f>
        <v>0</v>
      </c>
    </row>
    <row r="15" spans="1:13" x14ac:dyDescent="0.2">
      <c r="A15" s="3" t="str">
        <f>+'rates, dates, etc'!A85</f>
        <v>Graduate Student(s)</v>
      </c>
      <c r="B15" s="5">
        <f>O66+O67</f>
        <v>0</v>
      </c>
      <c r="C15" s="5">
        <f t="shared" ref="C15:F15" si="11">P66+P67</f>
        <v>0</v>
      </c>
      <c r="D15" s="5">
        <f t="shared" si="11"/>
        <v>0</v>
      </c>
      <c r="E15" s="5">
        <f t="shared" si="11"/>
        <v>0</v>
      </c>
      <c r="F15" s="5">
        <f t="shared" si="11"/>
        <v>0</v>
      </c>
      <c r="G15" s="5">
        <f>T66+T67</f>
        <v>0</v>
      </c>
      <c r="H15" s="5">
        <f t="shared" ref="H15:K15" si="12">U66+U67</f>
        <v>0</v>
      </c>
      <c r="I15" s="5">
        <f t="shared" si="12"/>
        <v>0</v>
      </c>
      <c r="J15" s="5">
        <f t="shared" si="12"/>
        <v>0</v>
      </c>
      <c r="K15" s="5">
        <f t="shared" si="12"/>
        <v>0</v>
      </c>
      <c r="L15" s="83">
        <f t="shared" si="10"/>
        <v>0</v>
      </c>
    </row>
    <row r="16" spans="1:13" x14ac:dyDescent="0.2">
      <c r="A16" s="3" t="str">
        <f>+'rates, dates, etc'!A90</f>
        <v>Undergraduate Student(s)</v>
      </c>
      <c r="B16" s="5">
        <f>+'rates, dates, etc'!B98</f>
        <v>0</v>
      </c>
      <c r="C16" s="5">
        <f>+'rates, dates, etc'!C98</f>
        <v>0</v>
      </c>
      <c r="D16" s="5">
        <f>+'rates, dates, etc'!D98</f>
        <v>0</v>
      </c>
      <c r="E16" s="5">
        <f>+'rates, dates, etc'!E98</f>
        <v>0</v>
      </c>
      <c r="F16" s="5">
        <f>+'rates, dates, etc'!F98</f>
        <v>0</v>
      </c>
      <c r="G16" s="5">
        <f>+'rates, dates, etc'!G98</f>
        <v>0</v>
      </c>
      <c r="H16" s="5">
        <f>+'rates, dates, etc'!H98</f>
        <v>0</v>
      </c>
      <c r="I16" s="5">
        <f>+'rates, dates, etc'!I98</f>
        <v>0</v>
      </c>
      <c r="J16" s="5">
        <f>+'rates, dates, etc'!J98</f>
        <v>0</v>
      </c>
      <c r="K16" s="5">
        <f>+'rates, dates, etc'!K98</f>
        <v>0</v>
      </c>
      <c r="L16" s="83">
        <f t="shared" si="10"/>
        <v>0</v>
      </c>
    </row>
    <row r="17" spans="1:16" x14ac:dyDescent="0.2">
      <c r="A17" s="3" t="str">
        <f>+'rates, dates, etc'!A101</f>
        <v>Other</v>
      </c>
      <c r="B17" s="5">
        <f>HLOOKUP(B$4,'rates, dates, etc'!B100:I105,6,FALSE)</f>
        <v>0</v>
      </c>
      <c r="C17" s="5">
        <f>HLOOKUP(C$4,'rates, dates, etc'!C100:O105,6,FALSE)</f>
        <v>0</v>
      </c>
      <c r="D17" s="5">
        <f>HLOOKUP(D$4,'rates, dates, etc'!D100:P105,6,FALSE)</f>
        <v>0</v>
      </c>
      <c r="E17" s="5">
        <f>HLOOKUP(E$4,'rates, dates, etc'!E100:Q105,6,FALSE)</f>
        <v>0</v>
      </c>
      <c r="F17" s="5">
        <f>HLOOKUP(F$4,'rates, dates, etc'!F100:R105,6,FALSE)</f>
        <v>0</v>
      </c>
      <c r="G17" s="5">
        <f>HLOOKUP(G$4,'rates, dates, etc'!G100:S105,6,FALSE)</f>
        <v>0</v>
      </c>
      <c r="H17" s="5">
        <f>HLOOKUP(H$4,'rates, dates, etc'!H100:T105,6,FALSE)</f>
        <v>0</v>
      </c>
      <c r="I17" s="5">
        <f>HLOOKUP(I$4,'rates, dates, etc'!I100:U105,6,FALSE)</f>
        <v>0</v>
      </c>
      <c r="J17" s="5">
        <f>HLOOKUP(J$4,'rates, dates, etc'!J100:V105,6,FALSE)</f>
        <v>0</v>
      </c>
      <c r="K17" s="5">
        <f>HLOOKUP(K$4,'rates, dates, etc'!K100:W105,6,FALSE)</f>
        <v>0</v>
      </c>
      <c r="L17" s="83">
        <f t="shared" si="10"/>
        <v>0</v>
      </c>
      <c r="N17" s="1"/>
      <c r="O17" s="1"/>
      <c r="P17" s="1"/>
    </row>
    <row r="18" spans="1:16" ht="12" thickBot="1" x14ac:dyDescent="0.25">
      <c r="A18" s="76" t="str">
        <f>CONCATENATE("Total ",A12)</f>
        <v>Total Other Personnel Salary</v>
      </c>
      <c r="B18" s="6">
        <f t="shared" ref="B18:L18" si="13">SUM(B12:B17)</f>
        <v>0</v>
      </c>
      <c r="C18" s="6">
        <f t="shared" si="13"/>
        <v>0</v>
      </c>
      <c r="D18" s="6">
        <f t="shared" si="13"/>
        <v>0</v>
      </c>
      <c r="E18" s="6">
        <f t="shared" si="13"/>
        <v>0</v>
      </c>
      <c r="F18" s="6">
        <f t="shared" si="13"/>
        <v>0</v>
      </c>
      <c r="G18" s="6">
        <f t="shared" ref="G18:K18" si="14">SUM(G12:G17)</f>
        <v>0</v>
      </c>
      <c r="H18" s="6">
        <f t="shared" si="14"/>
        <v>0</v>
      </c>
      <c r="I18" s="6">
        <f t="shared" si="14"/>
        <v>0</v>
      </c>
      <c r="J18" s="6">
        <f t="shared" si="14"/>
        <v>0</v>
      </c>
      <c r="K18" s="6">
        <f t="shared" si="14"/>
        <v>0</v>
      </c>
      <c r="L18" s="86">
        <f t="shared" si="13"/>
        <v>0</v>
      </c>
    </row>
    <row r="19" spans="1:16" x14ac:dyDescent="0.2">
      <c r="A19" s="77" t="s">
        <v>7</v>
      </c>
      <c r="B19" s="17" t="s">
        <v>6</v>
      </c>
      <c r="C19" s="17"/>
      <c r="D19" s="17"/>
      <c r="E19" s="17"/>
      <c r="F19" s="17"/>
      <c r="G19" s="17"/>
      <c r="H19" s="17"/>
      <c r="I19" s="17"/>
      <c r="J19" s="17"/>
      <c r="K19" s="17"/>
      <c r="L19" s="83"/>
    </row>
    <row r="20" spans="1:16" x14ac:dyDescent="0.2">
      <c r="A20" s="3" t="str">
        <f>+A8</f>
        <v>PI</v>
      </c>
      <c r="B20" s="17">
        <f>IF('rates, dates, etc'!$O49=9,ROUND((+B8*O$76),0),ROUND((+B8*O$79*$P$87)+(B8*P$79*$P$88),0))</f>
        <v>0</v>
      </c>
      <c r="C20" s="17">
        <f>IF('rates, dates, etc'!$O49=9,ROUND((+C8*P$76),0),ROUND((+C8*P$79*$P$87)+(C8*Q$79*$P$88),0))</f>
        <v>0</v>
      </c>
      <c r="D20" s="17">
        <f>IF('rates, dates, etc'!$O49=9,ROUND((+D8*Q$76),0),ROUND((+D8*Q$79*$P$87)+(D8*R$79*$P$88),0))</f>
        <v>0</v>
      </c>
      <c r="E20" s="17">
        <f>IF('rates, dates, etc'!$O49=9,ROUND((+E8*R$76),0),ROUND((+E8*R$79*$P$87)+(E8*S$79*$P$88),0))</f>
        <v>0</v>
      </c>
      <c r="F20" s="17">
        <f>IF('rates, dates, etc'!$O49=9,ROUND((+F8*S$76),0),ROUND((+F8*S$79*$P$87)+(F8*T$79*$P$88),0))</f>
        <v>0</v>
      </c>
      <c r="G20" s="17">
        <f>IF('rates, dates, etc'!$O49=9,ROUND((+G8*T$76),0),ROUND((+G8*T$79*$P$87)+(G8*U$79*$P$88),0))</f>
        <v>0</v>
      </c>
      <c r="H20" s="17">
        <f>IF('rates, dates, etc'!$O49=9,ROUND((+H8*U$76),0),ROUND((+H8*U$79*$P$87)+(H8*V$79*$P$88),0))</f>
        <v>0</v>
      </c>
      <c r="I20" s="17">
        <f>IF('rates, dates, etc'!$O49=9,ROUND((+I8*V$76),0),ROUND((+I8*V$79*$P$87)+(I8*W$79*$P$88),0))</f>
        <v>0</v>
      </c>
      <c r="J20" s="17">
        <f>IF('rates, dates, etc'!$O49=9,ROUND((+J8*W$76),0),ROUND((+J8*W$79*$P$87)+(J8*X$79*$P$88),0))</f>
        <v>0</v>
      </c>
      <c r="K20" s="17">
        <f>IF('rates, dates, etc'!$O49=9,ROUND((+K8*X$76),0),ROUND((+K8*X$79*$P$87)+(K8*Y$79*$P$88),0))</f>
        <v>0</v>
      </c>
      <c r="L20" s="83">
        <f>SUM(B20:K20)</f>
        <v>0</v>
      </c>
    </row>
    <row r="21" spans="1:16" x14ac:dyDescent="0.2">
      <c r="A21" s="3" t="str">
        <f>+A9</f>
        <v>Co-PI</v>
      </c>
      <c r="B21" s="17">
        <f>IF('rates, dates, etc'!$O57=9,ROUND((+B9*O$76),0),ROUND((+B9*O$79*$P$87)+(B9*P$79*$P$88),0))</f>
        <v>0</v>
      </c>
      <c r="C21" s="17">
        <f>IF('rates, dates, etc'!$O57=9,ROUND((+C9*P$76),0),ROUND((+C9*P$79*$P$87)+(C9*Q$79*$P$88),0))</f>
        <v>0</v>
      </c>
      <c r="D21" s="17">
        <f>IF('rates, dates, etc'!$O57=9,ROUND((+D9*Q$76),0),ROUND((+D9*Q$79*$P$87)+(D9*R$79*$P$88),0))</f>
        <v>0</v>
      </c>
      <c r="E21" s="17">
        <f>IF('rates, dates, etc'!$O57=9,ROUND((+E9*R$76),0),ROUND((+E9*R$79*$P$87)+(E9*S$79*$P$88),0))</f>
        <v>0</v>
      </c>
      <c r="F21" s="17">
        <f>IF('rates, dates, etc'!$O57=9,ROUND((+F9*S$76),0),ROUND((+F9*S$79*$P$87)+(F9*T$79*$P$88),0))</f>
        <v>0</v>
      </c>
      <c r="G21" s="17">
        <f>IF('rates, dates, etc'!$O57=9,ROUND((+G9*T$76),0),ROUND((+G9*T$79*$P$87)+(G9*U$79*$P$88),0))</f>
        <v>0</v>
      </c>
      <c r="H21" s="17">
        <f>IF('rates, dates, etc'!$O57=9,ROUND((+H9*U$76),0),ROUND((+H9*U$79*$P$87)+(H9*V$79*$P$88),0))</f>
        <v>0</v>
      </c>
      <c r="I21" s="17">
        <f>IF('rates, dates, etc'!$O57=9,ROUND((+I9*V$76),0),ROUND((+I9*V$79*$P$87)+(I9*W$79*$P$88),0))</f>
        <v>0</v>
      </c>
      <c r="J21" s="17">
        <f>IF('rates, dates, etc'!$O57=9,ROUND((+J9*W$76),0),ROUND((+J9*W$79*$P$87)+(J9*X$79*$P$88),0))</f>
        <v>0</v>
      </c>
      <c r="K21" s="17">
        <f>IF('rates, dates, etc'!$O57=9,ROUND((+K9*X$76),0),ROUND((+K9*X$79*$P$87)+(K9*Y$79*$P$88),0))</f>
        <v>0</v>
      </c>
      <c r="L21" s="83">
        <f t="shared" ref="L21:L25" si="15">SUM(B21:K21)</f>
        <v>0</v>
      </c>
      <c r="N21" s="1"/>
      <c r="O21" s="1"/>
      <c r="P21" s="1"/>
    </row>
    <row r="22" spans="1:16" x14ac:dyDescent="0.2">
      <c r="A22" s="3" t="str">
        <f>+A10</f>
        <v>Co-PI</v>
      </c>
      <c r="B22" s="17">
        <f>IF('rates, dates, etc'!$O65=9,ROUND((+B10*O$76),0),ROUND((+B10*O$79*$P$87)+(B10*P$79*$P$88),0))</f>
        <v>0</v>
      </c>
      <c r="C22" s="17">
        <f>IF('rates, dates, etc'!$O65=9,ROUND((+C10*P$76),0),ROUND((+C10*P$79*$P$87)+(C10*Q$79*$P$88),0))</f>
        <v>0</v>
      </c>
      <c r="D22" s="17">
        <f>IF('rates, dates, etc'!$O65=9,ROUND((+D10*Q$76),0),ROUND((+D10*Q$79*$P$87)+(D10*R$79*$P$88),0))</f>
        <v>0</v>
      </c>
      <c r="E22" s="17">
        <f>IF('rates, dates, etc'!$O65=9,ROUND((+E10*R$76),0),ROUND((+E10*R$79*$P$87)+(E10*S$79*$P$88),0))</f>
        <v>0</v>
      </c>
      <c r="F22" s="17">
        <f>IF('rates, dates, etc'!$O65=9,ROUND((+F10*S$76),0),ROUND((+F10*S$79*$P$87)+(F10*T$79*$P$88),0))</f>
        <v>0</v>
      </c>
      <c r="G22" s="17">
        <f>IF('rates, dates, etc'!$O65=9,ROUND((+G10*T$76),0),ROUND((+G10*T$79*$P$87)+(G10*U$79*$P$88),0))</f>
        <v>0</v>
      </c>
      <c r="H22" s="17">
        <f>IF('rates, dates, etc'!$O65=9,ROUND((+H10*U$76),0),ROUND((+H10*U$79*$P$87)+(H10*V$79*$P$88),0))</f>
        <v>0</v>
      </c>
      <c r="I22" s="17">
        <f>IF('rates, dates, etc'!$O65=9,ROUND((+I10*V$76),0),ROUND((+I10*V$79*$P$87)+(I10*W$79*$P$88),0))</f>
        <v>0</v>
      </c>
      <c r="J22" s="17">
        <f>IF('rates, dates, etc'!$O65=9,ROUND((+J10*W$76),0),ROUND((+J10*W$79*$P$87)+(J10*X$79*$P$88),0))</f>
        <v>0</v>
      </c>
      <c r="K22" s="17">
        <f>IF('rates, dates, etc'!$O65=9,ROUND((+K10*X$76),0),ROUND((+K10*X$79*$P$87)+(K10*Y$79*$P$88),0))</f>
        <v>0</v>
      </c>
      <c r="L22" s="83">
        <f t="shared" si="15"/>
        <v>0</v>
      </c>
      <c r="N22" s="1"/>
      <c r="O22" s="1"/>
      <c r="P22" s="1"/>
    </row>
    <row r="23" spans="1:16" x14ac:dyDescent="0.2">
      <c r="A23" s="3" t="str">
        <f>+A13</f>
        <v>Post Doctoral Scholar(s)</v>
      </c>
      <c r="B23" s="17">
        <f t="shared" ref="B23:G24" si="16">ROUND((+B13*O80*$P$87)+(B13*P80*$P$88),0)</f>
        <v>0</v>
      </c>
      <c r="C23" s="17">
        <f t="shared" si="16"/>
        <v>0</v>
      </c>
      <c r="D23" s="17">
        <f t="shared" si="16"/>
        <v>0</v>
      </c>
      <c r="E23" s="17">
        <f t="shared" si="16"/>
        <v>0</v>
      </c>
      <c r="F23" s="17">
        <f t="shared" si="16"/>
        <v>0</v>
      </c>
      <c r="G23" s="17">
        <f t="shared" si="16"/>
        <v>0</v>
      </c>
      <c r="H23" s="17">
        <f t="shared" ref="H23:K23" si="17">ROUND((+H13*U80*$P$87)+(H13*V80*$P$88),0)</f>
        <v>0</v>
      </c>
      <c r="I23" s="17">
        <f t="shared" si="17"/>
        <v>0</v>
      </c>
      <c r="J23" s="17">
        <f t="shared" si="17"/>
        <v>0</v>
      </c>
      <c r="K23" s="17">
        <f t="shared" si="17"/>
        <v>0</v>
      </c>
      <c r="L23" s="83">
        <f t="shared" si="15"/>
        <v>0</v>
      </c>
    </row>
    <row r="24" spans="1:16" x14ac:dyDescent="0.2">
      <c r="A24" s="3" t="str">
        <f>+A14</f>
        <v>Other Professional(s) (Technicians, etc)</v>
      </c>
      <c r="B24" s="17">
        <f t="shared" si="16"/>
        <v>0</v>
      </c>
      <c r="C24" s="17">
        <f t="shared" si="16"/>
        <v>0</v>
      </c>
      <c r="D24" s="17">
        <f t="shared" si="16"/>
        <v>0</v>
      </c>
      <c r="E24" s="17">
        <f t="shared" si="16"/>
        <v>0</v>
      </c>
      <c r="F24" s="17">
        <f t="shared" si="16"/>
        <v>0</v>
      </c>
      <c r="G24" s="17">
        <f t="shared" si="16"/>
        <v>0</v>
      </c>
      <c r="H24" s="17">
        <f t="shared" ref="H24:K24" si="18">ROUND((+H14*U81*$P$87)+(H14*V81*$P$88),0)</f>
        <v>0</v>
      </c>
      <c r="I24" s="17">
        <f t="shared" si="18"/>
        <v>0</v>
      </c>
      <c r="J24" s="17">
        <f t="shared" si="18"/>
        <v>0</v>
      </c>
      <c r="K24" s="17">
        <f t="shared" si="18"/>
        <v>0</v>
      </c>
      <c r="L24" s="83">
        <f t="shared" si="15"/>
        <v>0</v>
      </c>
    </row>
    <row r="25" spans="1:16" x14ac:dyDescent="0.2">
      <c r="A25" s="3" t="str">
        <f>+A17</f>
        <v>Other</v>
      </c>
      <c r="B25" s="17">
        <f>IF('rates, dates, etc'!$O102=9,ROUND((+B17*O$76),0),ROUND((+B17*O$81*$P$87)+(B17*P$81*$P$88),0))</f>
        <v>0</v>
      </c>
      <c r="C25" s="17">
        <f>IF('rates, dates, etc'!$O102=9,ROUND((+C17*P$76),0),ROUND((+C17*P$81*$P$87)+(C17*Q$81*$P$88),0))</f>
        <v>0</v>
      </c>
      <c r="D25" s="17">
        <f>IF('rates, dates, etc'!$O102=9,ROUND((+D17*Q$76),0),ROUND((+D17*Q$81*$P$87)+(D17*R$81*$P$88),0))</f>
        <v>0</v>
      </c>
      <c r="E25" s="17">
        <f>IF('rates, dates, etc'!$O102=9,ROUND((+E17*R$76),0),ROUND((+E17*R$81*$P$87)+(E17*S$81*$P$88),0))</f>
        <v>0</v>
      </c>
      <c r="F25" s="17">
        <f>IF('rates, dates, etc'!$O102=9,ROUND((+F17*S$76),0),ROUND((+F17*S$81*$P$87)+(F17*T$81*$P$88),0))</f>
        <v>0</v>
      </c>
      <c r="G25" s="17">
        <f>IF('rates, dates, etc'!$O102=9,ROUND((+G17*T$76),0),ROUND((+G17*T$81*$P$87)+(G17*U$81*$P$88),0))</f>
        <v>0</v>
      </c>
      <c r="H25" s="17">
        <f>IF('rates, dates, etc'!$O102=9,ROUND((+H17*U$76),0),ROUND((+H17*U$81*$P$87)+(H17*V$81*$P$88),0))</f>
        <v>0</v>
      </c>
      <c r="I25" s="17">
        <f>IF('rates, dates, etc'!$O102=9,ROUND((+I17*V$76),0),ROUND((+I17*V$81*$P$87)+(I17*W$81*$P$88),0))</f>
        <v>0</v>
      </c>
      <c r="J25" s="17">
        <f>IF('rates, dates, etc'!$O102=9,ROUND((+J17*W$76),0),ROUND((+J17*W$81*$P$87)+(J17*X$81*$P$88),0))</f>
        <v>0</v>
      </c>
      <c r="K25" s="17">
        <f>IF('rates, dates, etc'!$O102=9,ROUND((+K17*X$76),0),ROUND((+K17*X$81*$P$87)+(K17*Y$81*$P$88),0))</f>
        <v>0</v>
      </c>
      <c r="L25" s="83">
        <f t="shared" si="15"/>
        <v>0</v>
      </c>
    </row>
    <row r="26" spans="1:16" ht="12" thickBot="1" x14ac:dyDescent="0.25">
      <c r="A26" s="76" t="str">
        <f>CONCATENATE("Total ",A19)</f>
        <v>Total Fringe Benefits</v>
      </c>
      <c r="B26" s="6">
        <f>SUM(B19:B25)</f>
        <v>0</v>
      </c>
      <c r="C26" s="6">
        <f>SUM(C19:C25)</f>
        <v>0</v>
      </c>
      <c r="D26" s="6">
        <f>SUM(D19:D25)</f>
        <v>0</v>
      </c>
      <c r="E26" s="6">
        <f t="shared" ref="E26:F26" si="19">SUM(E19:E25)</f>
        <v>0</v>
      </c>
      <c r="F26" s="6">
        <f t="shared" si="19"/>
        <v>0</v>
      </c>
      <c r="G26" s="6">
        <f t="shared" ref="G26:K26" si="20">SUM(G19:G25)</f>
        <v>0</v>
      </c>
      <c r="H26" s="6">
        <f t="shared" si="20"/>
        <v>0</v>
      </c>
      <c r="I26" s="6">
        <f t="shared" si="20"/>
        <v>0</v>
      </c>
      <c r="J26" s="6">
        <f t="shared" si="20"/>
        <v>0</v>
      </c>
      <c r="K26" s="6">
        <f t="shared" si="20"/>
        <v>0</v>
      </c>
      <c r="L26" s="86">
        <f>SUM(L19:L25)</f>
        <v>0</v>
      </c>
    </row>
    <row r="27" spans="1:16" ht="12" thickBot="1" x14ac:dyDescent="0.25">
      <c r="A27" s="130" t="s">
        <v>108</v>
      </c>
      <c r="B27" s="131">
        <f t="shared" ref="B27:G27" si="21">+B11+B18+B26</f>
        <v>0</v>
      </c>
      <c r="C27" s="131">
        <f t="shared" si="21"/>
        <v>0</v>
      </c>
      <c r="D27" s="131">
        <f t="shared" si="21"/>
        <v>0</v>
      </c>
      <c r="E27" s="131">
        <f t="shared" si="21"/>
        <v>0</v>
      </c>
      <c r="F27" s="131">
        <f t="shared" si="21"/>
        <v>0</v>
      </c>
      <c r="G27" s="131">
        <f t="shared" si="21"/>
        <v>0</v>
      </c>
      <c r="H27" s="131">
        <f t="shared" ref="H27" si="22">+H11+H18+H26</f>
        <v>0</v>
      </c>
      <c r="I27" s="131">
        <f t="shared" ref="I27" si="23">+I11+I18+I26</f>
        <v>0</v>
      </c>
      <c r="J27" s="131">
        <f t="shared" ref="J27" si="24">+J11+J18+J26</f>
        <v>0</v>
      </c>
      <c r="K27" s="131">
        <f t="shared" ref="K27" si="25">+K11+K18+K26</f>
        <v>0</v>
      </c>
      <c r="L27" s="132">
        <f>SUM(B27:K27)</f>
        <v>0</v>
      </c>
    </row>
    <row r="28" spans="1:16" x14ac:dyDescent="0.2">
      <c r="A28" s="77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83"/>
    </row>
    <row r="29" spans="1:16" x14ac:dyDescent="0.2">
      <c r="A29" s="3" t="s">
        <v>62</v>
      </c>
      <c r="B29" s="342">
        <v>0</v>
      </c>
      <c r="C29" s="342">
        <v>0</v>
      </c>
      <c r="D29" s="342">
        <v>0</v>
      </c>
      <c r="E29" s="342">
        <v>0</v>
      </c>
      <c r="F29" s="342">
        <v>0</v>
      </c>
      <c r="G29" s="342">
        <v>0</v>
      </c>
      <c r="H29" s="342">
        <v>0</v>
      </c>
      <c r="I29" s="342">
        <v>0</v>
      </c>
      <c r="J29" s="342">
        <v>0</v>
      </c>
      <c r="K29" s="342">
        <v>0</v>
      </c>
      <c r="L29" s="83">
        <f>SUM(B29:F29)</f>
        <v>0</v>
      </c>
    </row>
    <row r="30" spans="1:16" ht="12" thickBot="1" x14ac:dyDescent="0.25">
      <c r="A30" s="76" t="str">
        <f>CONCATENATE("Total ",A28)</f>
        <v>Total Equipment</v>
      </c>
      <c r="B30" s="6">
        <f t="shared" ref="B30:L30" si="26">SUM(B28:B29)</f>
        <v>0</v>
      </c>
      <c r="C30" s="6">
        <f t="shared" si="26"/>
        <v>0</v>
      </c>
      <c r="D30" s="6">
        <f t="shared" si="26"/>
        <v>0</v>
      </c>
      <c r="E30" s="6">
        <f t="shared" si="26"/>
        <v>0</v>
      </c>
      <c r="F30" s="6">
        <f t="shared" si="26"/>
        <v>0</v>
      </c>
      <c r="G30" s="6">
        <f t="shared" ref="G30:K30" si="27">SUM(G28:G29)</f>
        <v>0</v>
      </c>
      <c r="H30" s="6">
        <f t="shared" si="27"/>
        <v>0</v>
      </c>
      <c r="I30" s="6">
        <f t="shared" si="27"/>
        <v>0</v>
      </c>
      <c r="J30" s="6">
        <f t="shared" si="27"/>
        <v>0</v>
      </c>
      <c r="K30" s="6">
        <f t="shared" si="27"/>
        <v>0</v>
      </c>
      <c r="L30" s="86">
        <f t="shared" si="26"/>
        <v>0</v>
      </c>
    </row>
    <row r="31" spans="1:16" x14ac:dyDescent="0.2">
      <c r="A31" s="77" t="s">
        <v>34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83"/>
    </row>
    <row r="32" spans="1:16" x14ac:dyDescent="0.2">
      <c r="A32" s="3" t="s">
        <v>10</v>
      </c>
      <c r="B32" s="342">
        <v>0</v>
      </c>
      <c r="C32" s="342">
        <v>0</v>
      </c>
      <c r="D32" s="342">
        <v>0</v>
      </c>
      <c r="E32" s="342">
        <v>0</v>
      </c>
      <c r="F32" s="342">
        <v>0</v>
      </c>
      <c r="G32" s="342">
        <v>0</v>
      </c>
      <c r="H32" s="342">
        <v>0</v>
      </c>
      <c r="I32" s="342">
        <v>0</v>
      </c>
      <c r="J32" s="342">
        <v>0</v>
      </c>
      <c r="K32" s="342">
        <v>0</v>
      </c>
      <c r="L32" s="83">
        <f>SUM(B32:K32)</f>
        <v>0</v>
      </c>
    </row>
    <row r="33" spans="1:16" x14ac:dyDescent="0.2">
      <c r="A33" s="3" t="s">
        <v>11</v>
      </c>
      <c r="B33" s="342">
        <v>0</v>
      </c>
      <c r="C33" s="342">
        <v>0</v>
      </c>
      <c r="D33" s="342">
        <v>0</v>
      </c>
      <c r="E33" s="342">
        <v>0</v>
      </c>
      <c r="F33" s="342">
        <v>0</v>
      </c>
      <c r="G33" s="342">
        <v>0</v>
      </c>
      <c r="H33" s="342">
        <v>0</v>
      </c>
      <c r="I33" s="342">
        <v>0</v>
      </c>
      <c r="J33" s="342">
        <v>0</v>
      </c>
      <c r="K33" s="342">
        <v>0</v>
      </c>
      <c r="L33" s="83">
        <f>SUM(B33:K33)</f>
        <v>0</v>
      </c>
    </row>
    <row r="34" spans="1:16" ht="12" thickBot="1" x14ac:dyDescent="0.25">
      <c r="A34" s="76" t="str">
        <f>CONCATENATE("Total ",A31)</f>
        <v>Total Travel</v>
      </c>
      <c r="B34" s="6">
        <f>SUM(B31:B33)</f>
        <v>0</v>
      </c>
      <c r="C34" s="6">
        <f>SUM(C31:C33)</f>
        <v>0</v>
      </c>
      <c r="D34" s="6">
        <f t="shared" ref="D34:F34" si="28">SUM(D31:D33)</f>
        <v>0</v>
      </c>
      <c r="E34" s="6">
        <f t="shared" si="28"/>
        <v>0</v>
      </c>
      <c r="F34" s="6">
        <f t="shared" si="28"/>
        <v>0</v>
      </c>
      <c r="G34" s="6">
        <f t="shared" ref="G34:K34" si="29">SUM(G31:G33)</f>
        <v>0</v>
      </c>
      <c r="H34" s="6">
        <f t="shared" si="29"/>
        <v>0</v>
      </c>
      <c r="I34" s="6">
        <f t="shared" si="29"/>
        <v>0</v>
      </c>
      <c r="J34" s="6">
        <f t="shared" si="29"/>
        <v>0</v>
      </c>
      <c r="K34" s="6">
        <f t="shared" si="29"/>
        <v>0</v>
      </c>
      <c r="L34" s="86">
        <f>SUM(L31:L33)</f>
        <v>0</v>
      </c>
    </row>
    <row r="35" spans="1:16" x14ac:dyDescent="0.2">
      <c r="A35" s="77" t="s">
        <v>27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83"/>
    </row>
    <row r="36" spans="1:16" x14ac:dyDescent="0.2">
      <c r="A36" s="3" t="s">
        <v>75</v>
      </c>
      <c r="B36" s="342">
        <v>0</v>
      </c>
      <c r="C36" s="342">
        <v>0</v>
      </c>
      <c r="D36" s="342">
        <v>0</v>
      </c>
      <c r="E36" s="342">
        <v>0</v>
      </c>
      <c r="F36" s="342">
        <v>0</v>
      </c>
      <c r="G36" s="342">
        <v>0</v>
      </c>
      <c r="H36" s="342">
        <v>0</v>
      </c>
      <c r="I36" s="342">
        <v>0</v>
      </c>
      <c r="J36" s="342">
        <v>0</v>
      </c>
      <c r="K36" s="342">
        <v>0</v>
      </c>
      <c r="L36" s="83">
        <f>SUM(B36:K36)</f>
        <v>0</v>
      </c>
      <c r="N36" s="1"/>
      <c r="O36" s="1"/>
      <c r="P36" s="1"/>
    </row>
    <row r="37" spans="1:16" x14ac:dyDescent="0.2">
      <c r="A37" s="3" t="s">
        <v>42</v>
      </c>
      <c r="B37" s="342">
        <v>0</v>
      </c>
      <c r="C37" s="342">
        <v>0</v>
      </c>
      <c r="D37" s="342">
        <v>0</v>
      </c>
      <c r="E37" s="342">
        <v>0</v>
      </c>
      <c r="F37" s="342">
        <v>0</v>
      </c>
      <c r="G37" s="342">
        <v>0</v>
      </c>
      <c r="H37" s="342">
        <v>0</v>
      </c>
      <c r="I37" s="342">
        <v>0</v>
      </c>
      <c r="J37" s="342">
        <v>0</v>
      </c>
      <c r="K37" s="342">
        <v>0</v>
      </c>
      <c r="L37" s="83">
        <f t="shared" ref="L37:L40" si="30">SUM(B37:K37)</f>
        <v>0</v>
      </c>
      <c r="N37" s="1"/>
      <c r="O37" s="1"/>
      <c r="P37" s="1"/>
    </row>
    <row r="38" spans="1:16" x14ac:dyDescent="0.2">
      <c r="A38" s="3" t="s">
        <v>34</v>
      </c>
      <c r="B38" s="342">
        <v>0</v>
      </c>
      <c r="C38" s="342">
        <v>0</v>
      </c>
      <c r="D38" s="342">
        <v>0</v>
      </c>
      <c r="E38" s="342">
        <v>0</v>
      </c>
      <c r="F38" s="342">
        <v>0</v>
      </c>
      <c r="G38" s="342">
        <v>0</v>
      </c>
      <c r="H38" s="342">
        <v>0</v>
      </c>
      <c r="I38" s="342">
        <v>0</v>
      </c>
      <c r="J38" s="342">
        <v>0</v>
      </c>
      <c r="K38" s="342">
        <v>0</v>
      </c>
      <c r="L38" s="83">
        <f t="shared" si="30"/>
        <v>0</v>
      </c>
      <c r="P38" s="1"/>
    </row>
    <row r="39" spans="1:16" x14ac:dyDescent="0.2">
      <c r="A39" s="3" t="s">
        <v>43</v>
      </c>
      <c r="B39" s="342">
        <v>0</v>
      </c>
      <c r="C39" s="342">
        <v>0</v>
      </c>
      <c r="D39" s="342">
        <v>0</v>
      </c>
      <c r="E39" s="342">
        <v>0</v>
      </c>
      <c r="F39" s="342">
        <v>0</v>
      </c>
      <c r="G39" s="342">
        <v>0</v>
      </c>
      <c r="H39" s="342">
        <v>0</v>
      </c>
      <c r="I39" s="342">
        <v>0</v>
      </c>
      <c r="J39" s="342">
        <v>0</v>
      </c>
      <c r="K39" s="342">
        <v>0</v>
      </c>
      <c r="L39" s="83">
        <f t="shared" si="30"/>
        <v>0</v>
      </c>
    </row>
    <row r="40" spans="1:16" x14ac:dyDescent="0.2">
      <c r="A40" s="3" t="s">
        <v>29</v>
      </c>
      <c r="B40" s="342">
        <v>0</v>
      </c>
      <c r="C40" s="342">
        <v>0</v>
      </c>
      <c r="D40" s="342">
        <v>0</v>
      </c>
      <c r="E40" s="342">
        <v>0</v>
      </c>
      <c r="F40" s="342">
        <v>0</v>
      </c>
      <c r="G40" s="342">
        <v>0</v>
      </c>
      <c r="H40" s="342">
        <v>0</v>
      </c>
      <c r="I40" s="342">
        <v>0</v>
      </c>
      <c r="J40" s="342">
        <v>0</v>
      </c>
      <c r="K40" s="342">
        <v>0</v>
      </c>
      <c r="L40" s="83">
        <f t="shared" si="30"/>
        <v>0</v>
      </c>
    </row>
    <row r="41" spans="1:16" ht="12" thickBot="1" x14ac:dyDescent="0.25">
      <c r="A41" s="76" t="str">
        <f>CONCATENATE("Total ",A35)</f>
        <v>Total Participant Support Costs</v>
      </c>
      <c r="B41" s="6">
        <f>SUM(B35:B40)</f>
        <v>0</v>
      </c>
      <c r="C41" s="6">
        <f>SUM(C35:C40)</f>
        <v>0</v>
      </c>
      <c r="D41" s="6">
        <f t="shared" ref="D41:F41" si="31">SUM(D35:D40)</f>
        <v>0</v>
      </c>
      <c r="E41" s="6">
        <f t="shared" si="31"/>
        <v>0</v>
      </c>
      <c r="F41" s="6">
        <f t="shared" si="31"/>
        <v>0</v>
      </c>
      <c r="G41" s="6">
        <f t="shared" ref="G41:K41" si="32">SUM(G35:G40)</f>
        <v>0</v>
      </c>
      <c r="H41" s="6">
        <f t="shared" si="32"/>
        <v>0</v>
      </c>
      <c r="I41" s="6">
        <f t="shared" si="32"/>
        <v>0</v>
      </c>
      <c r="J41" s="6">
        <f t="shared" si="32"/>
        <v>0</v>
      </c>
      <c r="K41" s="6">
        <f t="shared" si="32"/>
        <v>0</v>
      </c>
      <c r="L41" s="86">
        <f>SUM(L35:L40)</f>
        <v>0</v>
      </c>
    </row>
    <row r="42" spans="1:16" x14ac:dyDescent="0.2">
      <c r="A42" s="77" t="s">
        <v>13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83"/>
    </row>
    <row r="43" spans="1:16" x14ac:dyDescent="0.2">
      <c r="A43" s="3" t="s">
        <v>14</v>
      </c>
      <c r="B43" s="388">
        <v>0</v>
      </c>
      <c r="C43" s="388">
        <v>0</v>
      </c>
      <c r="D43" s="388">
        <v>0</v>
      </c>
      <c r="E43" s="388">
        <v>0</v>
      </c>
      <c r="F43" s="388">
        <v>0</v>
      </c>
      <c r="G43" s="388">
        <v>0</v>
      </c>
      <c r="H43" s="388">
        <v>0</v>
      </c>
      <c r="I43" s="388">
        <v>0</v>
      </c>
      <c r="J43" s="388">
        <v>0</v>
      </c>
      <c r="K43" s="388">
        <v>0</v>
      </c>
      <c r="L43" s="83">
        <f>SUM(B43:K43)</f>
        <v>0</v>
      </c>
    </row>
    <row r="44" spans="1:16" x14ac:dyDescent="0.2">
      <c r="A44" s="3" t="s">
        <v>181</v>
      </c>
      <c r="B44" s="342">
        <v>0</v>
      </c>
      <c r="C44" s="342">
        <v>0</v>
      </c>
      <c r="D44" s="342">
        <v>0</v>
      </c>
      <c r="E44" s="342">
        <v>0</v>
      </c>
      <c r="F44" s="342">
        <v>0</v>
      </c>
      <c r="G44" s="342">
        <v>0</v>
      </c>
      <c r="H44" s="342">
        <v>0</v>
      </c>
      <c r="I44" s="342">
        <v>0</v>
      </c>
      <c r="J44" s="342">
        <v>0</v>
      </c>
      <c r="K44" s="342">
        <v>0</v>
      </c>
      <c r="L44" s="83">
        <f t="shared" ref="L44:L51" si="33">SUM(B44:K44)</f>
        <v>0</v>
      </c>
    </row>
    <row r="45" spans="1:16" x14ac:dyDescent="0.2">
      <c r="A45" s="3" t="s">
        <v>240</v>
      </c>
      <c r="B45" s="342">
        <v>0</v>
      </c>
      <c r="C45" s="342">
        <v>0</v>
      </c>
      <c r="D45" s="342">
        <v>0</v>
      </c>
      <c r="E45" s="342">
        <v>0</v>
      </c>
      <c r="F45" s="342">
        <v>0</v>
      </c>
      <c r="G45" s="342">
        <v>0</v>
      </c>
      <c r="H45" s="342">
        <v>0</v>
      </c>
      <c r="I45" s="342">
        <v>0</v>
      </c>
      <c r="J45" s="342">
        <v>0</v>
      </c>
      <c r="K45" s="342">
        <v>0</v>
      </c>
      <c r="L45" s="83">
        <f t="shared" si="33"/>
        <v>0</v>
      </c>
    </row>
    <row r="46" spans="1:16" x14ac:dyDescent="0.2">
      <c r="A46" s="3" t="s">
        <v>182</v>
      </c>
      <c r="B46" s="342">
        <v>0</v>
      </c>
      <c r="C46" s="342">
        <v>0</v>
      </c>
      <c r="D46" s="342">
        <v>0</v>
      </c>
      <c r="E46" s="342">
        <v>0</v>
      </c>
      <c r="F46" s="342">
        <v>0</v>
      </c>
      <c r="G46" s="342">
        <v>0</v>
      </c>
      <c r="H46" s="342">
        <v>0</v>
      </c>
      <c r="I46" s="342">
        <v>0</v>
      </c>
      <c r="J46" s="342">
        <v>0</v>
      </c>
      <c r="K46" s="342">
        <v>0</v>
      </c>
      <c r="L46" s="83">
        <f t="shared" si="33"/>
        <v>0</v>
      </c>
    </row>
    <row r="47" spans="1:16" x14ac:dyDescent="0.2">
      <c r="A47" s="3" t="s">
        <v>41</v>
      </c>
      <c r="B47" s="357">
        <f>+'Consortium 1'!B57+'Consortium 2'!B57+'Consortium 3'!B57+'Consortium 4'!B57+'Consortium 5'!B57</f>
        <v>0</v>
      </c>
      <c r="C47" s="357">
        <f>+'Consortium 1'!C57+'Consortium 2'!C57+'Consortium 3'!C57+'Consortium 4'!C57+'Consortium 5'!C57</f>
        <v>0</v>
      </c>
      <c r="D47" s="357">
        <f>+'Consortium 1'!D57+'Consortium 2'!D57+'Consortium 3'!D57+'Consortium 4'!D57+'Consortium 5'!D57</f>
        <v>0</v>
      </c>
      <c r="E47" s="357">
        <f>+'Consortium 1'!E57+'Consortium 2'!E57+'Consortium 3'!E57+'Consortium 4'!E57+'Consortium 5'!E57</f>
        <v>0</v>
      </c>
      <c r="F47" s="357">
        <f>+'Consortium 1'!F57+'Consortium 2'!F57+'Consortium 3'!F57+'Consortium 4'!F57+'Consortium 5'!F57</f>
        <v>0</v>
      </c>
      <c r="G47" s="357">
        <f>+'Consortium 1'!G57+'Consortium 2'!G57+'Consortium 3'!G57+'Consortium 4'!G57+'Consortium 5'!G57</f>
        <v>0</v>
      </c>
      <c r="H47" s="357">
        <f>+'Consortium 1'!H57+'Consortium 2'!H57+'Consortium 3'!H57+'Consortium 4'!H57+'Consortium 5'!H57</f>
        <v>0</v>
      </c>
      <c r="I47" s="357">
        <f>+'Consortium 1'!I57+'Consortium 2'!I57+'Consortium 3'!I57+'Consortium 4'!I57+'Consortium 5'!I57</f>
        <v>0</v>
      </c>
      <c r="J47" s="357">
        <f>+'Consortium 1'!J57+'Consortium 2'!J57+'Consortium 3'!J57+'Consortium 4'!J57+'Consortium 5'!J57</f>
        <v>0</v>
      </c>
      <c r="K47" s="357">
        <f>+'Consortium 1'!K57+'Consortium 2'!K57+'Consortium 3'!K57+'Consortium 4'!K57+'Consortium 5'!K57</f>
        <v>0</v>
      </c>
      <c r="L47" s="83">
        <f t="shared" si="33"/>
        <v>0</v>
      </c>
    </row>
    <row r="48" spans="1:16" x14ac:dyDescent="0.2">
      <c r="A48" s="3" t="s">
        <v>147</v>
      </c>
      <c r="B48" s="357">
        <f>O68</f>
        <v>0</v>
      </c>
      <c r="C48" s="357">
        <f t="shared" ref="C48:F48" si="34">P68</f>
        <v>0</v>
      </c>
      <c r="D48" s="357">
        <f t="shared" si="34"/>
        <v>0</v>
      </c>
      <c r="E48" s="357">
        <f t="shared" si="34"/>
        <v>0</v>
      </c>
      <c r="F48" s="357">
        <f t="shared" si="34"/>
        <v>0</v>
      </c>
      <c r="G48" s="357">
        <f>T68</f>
        <v>0</v>
      </c>
      <c r="H48" s="357">
        <f t="shared" ref="H48:K48" si="35">U68</f>
        <v>0</v>
      </c>
      <c r="I48" s="357">
        <f t="shared" si="35"/>
        <v>0</v>
      </c>
      <c r="J48" s="357">
        <f t="shared" si="35"/>
        <v>0</v>
      </c>
      <c r="K48" s="357">
        <f t="shared" si="35"/>
        <v>0</v>
      </c>
      <c r="L48" s="83">
        <f t="shared" si="33"/>
        <v>0</v>
      </c>
    </row>
    <row r="49" spans="1:24" x14ac:dyDescent="0.2">
      <c r="A49" s="3" t="s">
        <v>146</v>
      </c>
      <c r="B49" s="357">
        <f>O69</f>
        <v>0</v>
      </c>
      <c r="C49" s="357">
        <f t="shared" ref="C49:F49" si="36">P69</f>
        <v>0</v>
      </c>
      <c r="D49" s="357">
        <f t="shared" si="36"/>
        <v>0</v>
      </c>
      <c r="E49" s="357">
        <f t="shared" si="36"/>
        <v>0</v>
      </c>
      <c r="F49" s="357">
        <f t="shared" si="36"/>
        <v>0</v>
      </c>
      <c r="G49" s="357">
        <f>T69</f>
        <v>0</v>
      </c>
      <c r="H49" s="357">
        <f t="shared" ref="H49:K49" si="37">U69</f>
        <v>0</v>
      </c>
      <c r="I49" s="357">
        <f t="shared" si="37"/>
        <v>0</v>
      </c>
      <c r="J49" s="357">
        <f t="shared" si="37"/>
        <v>0</v>
      </c>
      <c r="K49" s="357">
        <f t="shared" si="37"/>
        <v>0</v>
      </c>
      <c r="L49" s="83">
        <f t="shared" si="33"/>
        <v>0</v>
      </c>
    </row>
    <row r="50" spans="1:24" x14ac:dyDescent="0.2">
      <c r="A50" s="3" t="s">
        <v>29</v>
      </c>
      <c r="B50" s="342">
        <v>0</v>
      </c>
      <c r="C50" s="342">
        <v>0</v>
      </c>
      <c r="D50" s="342">
        <v>0</v>
      </c>
      <c r="E50" s="342">
        <v>0</v>
      </c>
      <c r="F50" s="342">
        <v>0</v>
      </c>
      <c r="G50" s="342">
        <v>0</v>
      </c>
      <c r="H50" s="342">
        <v>0</v>
      </c>
      <c r="I50" s="342">
        <v>0</v>
      </c>
      <c r="J50" s="342">
        <v>0</v>
      </c>
      <c r="K50" s="342">
        <v>0</v>
      </c>
      <c r="L50" s="83">
        <f t="shared" si="33"/>
        <v>0</v>
      </c>
    </row>
    <row r="51" spans="1:24" x14ac:dyDescent="0.2">
      <c r="A51" s="3" t="s">
        <v>29</v>
      </c>
      <c r="B51" s="342">
        <v>0</v>
      </c>
      <c r="C51" s="342">
        <v>0</v>
      </c>
      <c r="D51" s="342">
        <v>0</v>
      </c>
      <c r="E51" s="342">
        <v>0</v>
      </c>
      <c r="F51" s="342">
        <v>0</v>
      </c>
      <c r="G51" s="342">
        <v>0</v>
      </c>
      <c r="H51" s="342">
        <v>0</v>
      </c>
      <c r="I51" s="342">
        <v>0</v>
      </c>
      <c r="J51" s="342">
        <v>0</v>
      </c>
      <c r="K51" s="342">
        <v>0</v>
      </c>
      <c r="L51" s="83">
        <f t="shared" si="33"/>
        <v>0</v>
      </c>
      <c r="P51" s="1"/>
      <c r="S51" s="5"/>
      <c r="T51" s="5"/>
    </row>
    <row r="52" spans="1:24" ht="12" thickBot="1" x14ac:dyDescent="0.25">
      <c r="A52" s="76" t="str">
        <f>CONCATENATE("Total ",A42)</f>
        <v>Total Other Direct Costs</v>
      </c>
      <c r="B52" s="86">
        <f t="shared" ref="B52:L52" si="38">SUM(B42:B51)</f>
        <v>0</v>
      </c>
      <c r="C52" s="6">
        <f t="shared" si="38"/>
        <v>0</v>
      </c>
      <c r="D52" s="6">
        <f t="shared" si="38"/>
        <v>0</v>
      </c>
      <c r="E52" s="6">
        <f t="shared" si="38"/>
        <v>0</v>
      </c>
      <c r="F52" s="6">
        <f t="shared" si="38"/>
        <v>0</v>
      </c>
      <c r="G52" s="6">
        <f t="shared" ref="G52:K52" si="39">SUM(G42:G51)</f>
        <v>0</v>
      </c>
      <c r="H52" s="6">
        <f t="shared" si="39"/>
        <v>0</v>
      </c>
      <c r="I52" s="6">
        <f t="shared" si="39"/>
        <v>0</v>
      </c>
      <c r="J52" s="6">
        <f t="shared" si="39"/>
        <v>0</v>
      </c>
      <c r="K52" s="6">
        <f t="shared" si="39"/>
        <v>0</v>
      </c>
      <c r="L52" s="86">
        <f t="shared" si="38"/>
        <v>0</v>
      </c>
      <c r="S52" s="5"/>
      <c r="T52" s="5"/>
    </row>
    <row r="53" spans="1:24" ht="12" thickBot="1" x14ac:dyDescent="0.25">
      <c r="A53" s="82" t="s">
        <v>16</v>
      </c>
      <c r="B53" s="124">
        <f t="shared" ref="B53:L53" si="40">SUM(+B11+B18+B26+B30+B34+B41+B52)</f>
        <v>0</v>
      </c>
      <c r="C53" s="124">
        <f t="shared" si="40"/>
        <v>0</v>
      </c>
      <c r="D53" s="124">
        <f t="shared" si="40"/>
        <v>0</v>
      </c>
      <c r="E53" s="124">
        <f t="shared" si="40"/>
        <v>0</v>
      </c>
      <c r="F53" s="124">
        <f t="shared" si="40"/>
        <v>0</v>
      </c>
      <c r="G53" s="124">
        <f t="shared" ref="G53:K53" si="41">SUM(+G11+G18+G26+G30+G34+G41+G52)</f>
        <v>0</v>
      </c>
      <c r="H53" s="124">
        <f t="shared" si="41"/>
        <v>0</v>
      </c>
      <c r="I53" s="124">
        <f t="shared" si="41"/>
        <v>0</v>
      </c>
      <c r="J53" s="124">
        <f t="shared" si="41"/>
        <v>0</v>
      </c>
      <c r="K53" s="124">
        <f t="shared" si="41"/>
        <v>0</v>
      </c>
      <c r="L53" s="125">
        <f t="shared" si="40"/>
        <v>0</v>
      </c>
      <c r="S53" s="5"/>
      <c r="T53" s="5"/>
    </row>
    <row r="54" spans="1:24" ht="12" thickBot="1" x14ac:dyDescent="0.25">
      <c r="A54" s="71" t="s">
        <v>17</v>
      </c>
      <c r="B54" s="94">
        <f>+B53-(B48+B49+B41+B59+B30)</f>
        <v>0</v>
      </c>
      <c r="C54" s="94">
        <f t="shared" ref="C54:F54" si="42">+C53-(C48+C49+C41+C59+C30)</f>
        <v>0</v>
      </c>
      <c r="D54" s="94">
        <f t="shared" si="42"/>
        <v>0</v>
      </c>
      <c r="E54" s="94">
        <f t="shared" si="42"/>
        <v>0</v>
      </c>
      <c r="F54" s="94">
        <f t="shared" si="42"/>
        <v>0</v>
      </c>
      <c r="G54" s="94">
        <f t="shared" ref="G54:K54" si="43">+G53-(G48+G49+G41+G59+G30)</f>
        <v>0</v>
      </c>
      <c r="H54" s="94">
        <f t="shared" si="43"/>
        <v>0</v>
      </c>
      <c r="I54" s="94">
        <f t="shared" si="43"/>
        <v>0</v>
      </c>
      <c r="J54" s="94">
        <f t="shared" si="43"/>
        <v>0</v>
      </c>
      <c r="K54" s="94">
        <f t="shared" si="43"/>
        <v>0</v>
      </c>
      <c r="L54" s="81">
        <f>SUM(B54:K54)</f>
        <v>0</v>
      </c>
      <c r="M54" s="108"/>
      <c r="S54" s="5"/>
      <c r="T54" s="5"/>
    </row>
    <row r="55" spans="1:24" ht="12" thickBot="1" x14ac:dyDescent="0.25">
      <c r="A55" s="99" t="s">
        <v>18</v>
      </c>
      <c r="B55" s="126">
        <f>IF(AND('rates, dates, etc'!$B$8="no",'Budget Summary'!$L$99&lt;'Budget Summary'!$L$100),B61,B62)</f>
        <v>0</v>
      </c>
      <c r="C55" s="126">
        <f>IF(AND('rates, dates, etc'!$B$8="no",'Budget Summary'!$L$99&lt;'Budget Summary'!$L$100),C61,C62)</f>
        <v>0</v>
      </c>
      <c r="D55" s="126">
        <f>IF(AND('rates, dates, etc'!$B$8="no",'Budget Summary'!$L$99&lt;'Budget Summary'!$L$100),D61,D62)</f>
        <v>0</v>
      </c>
      <c r="E55" s="126">
        <f>IF(AND('rates, dates, etc'!$B$8="no",'Budget Summary'!$L$99&lt;'Budget Summary'!$L$100),E61,E62)</f>
        <v>0</v>
      </c>
      <c r="F55" s="126">
        <f>IF(AND('rates, dates, etc'!$B$8="no",'Budget Summary'!$L$99&lt;'Budget Summary'!$L$100),F61,F62)</f>
        <v>0</v>
      </c>
      <c r="G55" s="126">
        <f>IF(AND('rates, dates, etc'!$B$8="no",'Budget Summary'!$L$99&lt;'Budget Summary'!$L$100),G61,G62)</f>
        <v>0</v>
      </c>
      <c r="H55" s="126">
        <f>IF(AND('rates, dates, etc'!$B$8="no",'Budget Summary'!$L$99&lt;'Budget Summary'!$L$100),H61,H62)</f>
        <v>0</v>
      </c>
      <c r="I55" s="126">
        <f>IF(AND('rates, dates, etc'!$B$8="no",'Budget Summary'!$L$99&lt;'Budget Summary'!$L$100),I61,I62)</f>
        <v>0</v>
      </c>
      <c r="J55" s="126">
        <f>IF(AND('rates, dates, etc'!$B$8="no",'Budget Summary'!$L$99&lt;'Budget Summary'!$L$100),J61,J62)</f>
        <v>0</v>
      </c>
      <c r="K55" s="126">
        <f>IF(AND('rates, dates, etc'!$B$8="no",'Budget Summary'!$L$99&lt;'Budget Summary'!$L$100),K61,K62)</f>
        <v>0</v>
      </c>
      <c r="L55" s="127">
        <f>SUM(B55:K55)</f>
        <v>0</v>
      </c>
      <c r="M55" s="107"/>
      <c r="S55" s="5"/>
      <c r="T55" s="5"/>
    </row>
    <row r="56" spans="1:24" ht="12" thickBot="1" x14ac:dyDescent="0.25">
      <c r="A56" s="100" t="s">
        <v>19</v>
      </c>
      <c r="B56" s="128">
        <f>+B53+B55</f>
        <v>0</v>
      </c>
      <c r="C56" s="128">
        <f t="shared" ref="C56:F56" si="44">+C53+C55</f>
        <v>0</v>
      </c>
      <c r="D56" s="128">
        <f t="shared" si="44"/>
        <v>0</v>
      </c>
      <c r="E56" s="128">
        <f t="shared" si="44"/>
        <v>0</v>
      </c>
      <c r="F56" s="128">
        <f t="shared" si="44"/>
        <v>0</v>
      </c>
      <c r="G56" s="128">
        <f t="shared" ref="G56:K56" si="45">+G53+G55</f>
        <v>0</v>
      </c>
      <c r="H56" s="128">
        <f t="shared" si="45"/>
        <v>0</v>
      </c>
      <c r="I56" s="128">
        <f t="shared" si="45"/>
        <v>0</v>
      </c>
      <c r="J56" s="128">
        <f t="shared" si="45"/>
        <v>0</v>
      </c>
      <c r="K56" s="128">
        <f t="shared" si="45"/>
        <v>0</v>
      </c>
      <c r="L56" s="129">
        <f>SUM(B56:K56)</f>
        <v>0</v>
      </c>
      <c r="Q56" s="4"/>
      <c r="S56" s="5"/>
      <c r="T56" s="5"/>
    </row>
    <row r="57" spans="1:24" x14ac:dyDescent="0.2">
      <c r="A57" s="7"/>
      <c r="B57" s="4"/>
      <c r="C57" s="4"/>
      <c r="D57" s="4"/>
      <c r="E57" s="4"/>
      <c r="F57" s="4"/>
      <c r="G57" s="4"/>
      <c r="H57" s="4"/>
      <c r="I57" s="4"/>
      <c r="J57" s="4"/>
      <c r="K57" s="4"/>
      <c r="Q57" s="4"/>
      <c r="S57" s="5"/>
      <c r="T57" s="5"/>
    </row>
    <row r="58" spans="1:24" ht="12" thickBot="1" x14ac:dyDescent="0.2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24" ht="12" thickBot="1" x14ac:dyDescent="0.25">
      <c r="A59" s="20" t="s">
        <v>40</v>
      </c>
      <c r="B59" s="87">
        <f>+'Consortium 1'!B64+'Consortium 2'!B64+'Consortium 3'!B64+'Consortium 4'!B64+'Consortium 5'!B64</f>
        <v>0</v>
      </c>
      <c r="C59" s="87">
        <f>+'Consortium 1'!C64+'Consortium 2'!C64+'Consortium 3'!C64+'Consortium 4'!C64+'Consortium 5'!C64</f>
        <v>0</v>
      </c>
      <c r="D59" s="87">
        <f>+'Consortium 1'!D64+'Consortium 2'!D64+'Consortium 3'!D64+'Consortium 4'!D64+'Consortium 5'!D64</f>
        <v>0</v>
      </c>
      <c r="E59" s="87">
        <f>+'Consortium 1'!E64+'Consortium 2'!E64+'Consortium 3'!E64+'Consortium 4'!E64+'Consortium 5'!E64</f>
        <v>0</v>
      </c>
      <c r="F59" s="87">
        <f>+'Consortium 1'!F64+'Consortium 2'!F64+'Consortium 3'!F64+'Consortium 4'!F64+'Consortium 5'!F64</f>
        <v>0</v>
      </c>
      <c r="G59" s="87">
        <f>+'Consortium 1'!G64+'Consortium 2'!G64+'Consortium 3'!G64+'Consortium 4'!G64+'Consortium 5'!G64</f>
        <v>0</v>
      </c>
      <c r="H59" s="87">
        <f>+'Consortium 1'!H64+'Consortium 2'!H64+'Consortium 3'!H64+'Consortium 4'!H64+'Consortium 5'!H64</f>
        <v>0</v>
      </c>
      <c r="I59" s="87">
        <f>+'Consortium 1'!I64+'Consortium 2'!I64+'Consortium 3'!I64+'Consortium 4'!I64+'Consortium 5'!I64</f>
        <v>0</v>
      </c>
      <c r="J59" s="87">
        <f>+'Consortium 1'!J64+'Consortium 2'!J64+'Consortium 3'!J64+'Consortium 4'!J64+'Consortium 5'!J64</f>
        <v>0</v>
      </c>
      <c r="K59" s="87">
        <f>+'Consortium 1'!K64+'Consortium 2'!K64+'Consortium 3'!K64+'Consortium 4'!K64+'Consortium 5'!K64</f>
        <v>0</v>
      </c>
      <c r="L59" s="92">
        <f>SUM(B59:K59)</f>
        <v>0</v>
      </c>
    </row>
    <row r="60" spans="1:24" ht="12" thickBo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24" ht="12" thickBot="1" x14ac:dyDescent="0.25">
      <c r="A61" s="90" t="s">
        <v>110</v>
      </c>
      <c r="B61" s="93">
        <f>IF('rates, dates, etc'!$B$8="Yes",0,ROUND((B53*O83*$P$87)+(B53*P83*$P$88),0))</f>
        <v>0</v>
      </c>
      <c r="C61" s="93">
        <f>IF('rates, dates, etc'!$B$8="Yes",0,ROUND((C53*P83*$P$87)+(C53*Q83*$P$88),0))</f>
        <v>0</v>
      </c>
      <c r="D61" s="93">
        <f>IF('rates, dates, etc'!$B$8="Yes",0,ROUND((D53*Q83*$P$87)+(D53*R83*$P$88),0))</f>
        <v>0</v>
      </c>
      <c r="E61" s="93">
        <f>IF('rates, dates, etc'!$B$8="Yes",0,ROUND((E53*R83*$P$87)+(E53*S83*$P$88),0))</f>
        <v>0</v>
      </c>
      <c r="F61" s="93">
        <f>IF('rates, dates, etc'!$B$8="Yes",0,ROUND((F53*S83*$P$87)+(F53*T83*$P$88),0))</f>
        <v>0</v>
      </c>
      <c r="G61" s="93">
        <f>IF('rates, dates, etc'!$B$8="Yes",0,ROUND((G53*T83*$P$87)+(G53*U83*$P$88),0))</f>
        <v>0</v>
      </c>
      <c r="H61" s="93">
        <f>IF('rates, dates, etc'!$B$8="Yes",0,ROUND((H53*U83*$P$87)+(H53*V83*$P$88),0))</f>
        <v>0</v>
      </c>
      <c r="I61" s="93">
        <f>IF('rates, dates, etc'!$B$8="Yes",0,ROUND((I53*V83*$P$87)+(I53*W83*$P$88),0))</f>
        <v>0</v>
      </c>
      <c r="J61" s="93">
        <f>IF('rates, dates, etc'!$B$8="Yes",0,ROUND((J53*W83*$P$87)+(J53*X83*$P$88),0))</f>
        <v>0</v>
      </c>
      <c r="K61" s="93">
        <f>IF('rates, dates, etc'!$B$8="Yes",0,ROUND((K53*X83*$P$87)+(K53*Y83*$P$88),0))</f>
        <v>0</v>
      </c>
      <c r="L61" s="93">
        <f>SUM(B61:K61)</f>
        <v>0</v>
      </c>
    </row>
    <row r="62" spans="1:24" ht="12" thickBot="1" x14ac:dyDescent="0.25">
      <c r="A62" s="91" t="s">
        <v>120</v>
      </c>
      <c r="B62" s="93">
        <f t="shared" ref="B62:K62" si="46">ROUND((B54*O84*$P$87)+(B54*P84*$P$88),0)</f>
        <v>0</v>
      </c>
      <c r="C62" s="95">
        <f t="shared" si="46"/>
        <v>0</v>
      </c>
      <c r="D62" s="95">
        <f t="shared" si="46"/>
        <v>0</v>
      </c>
      <c r="E62" s="95">
        <f t="shared" si="46"/>
        <v>0</v>
      </c>
      <c r="F62" s="95">
        <f t="shared" si="46"/>
        <v>0</v>
      </c>
      <c r="G62" s="95">
        <f t="shared" si="46"/>
        <v>0</v>
      </c>
      <c r="H62" s="95">
        <f t="shared" si="46"/>
        <v>0</v>
      </c>
      <c r="I62" s="95">
        <f t="shared" si="46"/>
        <v>0</v>
      </c>
      <c r="J62" s="95">
        <f t="shared" si="46"/>
        <v>0</v>
      </c>
      <c r="K62" s="95">
        <f t="shared" si="46"/>
        <v>0</v>
      </c>
      <c r="L62" s="93">
        <f>SUM(B62:K62)</f>
        <v>0</v>
      </c>
    </row>
    <row r="64" spans="1:24" ht="12" thickBot="1" x14ac:dyDescent="0.25">
      <c r="N64" s="43" t="s">
        <v>71</v>
      </c>
      <c r="O64" s="9" t="str">
        <f>+'rates, dates, etc'!B85</f>
        <v>Year 1</v>
      </c>
      <c r="P64" s="9" t="str">
        <f>+'rates, dates, etc'!C85</f>
        <v>Year 2</v>
      </c>
      <c r="Q64" s="9" t="str">
        <f>+'rates, dates, etc'!D85</f>
        <v>Year 3</v>
      </c>
      <c r="R64" s="9" t="str">
        <f>+'rates, dates, etc'!E85</f>
        <v>Year 4</v>
      </c>
      <c r="S64" s="9" t="str">
        <f>+'rates, dates, etc'!F85</f>
        <v>Year 5</v>
      </c>
      <c r="T64" s="9" t="str">
        <f>+'rates, dates, etc'!G85</f>
        <v>Year 6</v>
      </c>
      <c r="U64" s="9" t="str">
        <f>+'rates, dates, etc'!H85</f>
        <v>Year 7</v>
      </c>
      <c r="V64" s="9" t="str">
        <f>+'rates, dates, etc'!I85</f>
        <v>Year 8</v>
      </c>
      <c r="W64" s="9" t="str">
        <f>+'rates, dates, etc'!J85</f>
        <v>Year 9</v>
      </c>
      <c r="X64" s="9" t="str">
        <f>+'rates, dates, etc'!K85</f>
        <v>Year 10</v>
      </c>
    </row>
    <row r="65" spans="14:26" x14ac:dyDescent="0.2">
      <c r="N65" s="14" t="s">
        <v>32</v>
      </c>
      <c r="O65" s="15">
        <f>SUM('rates, dates, etc'!S80:S82)/3</f>
        <v>0</v>
      </c>
      <c r="P65" s="15">
        <f>SUM('rates, dates, etc'!T80:T82)/3</f>
        <v>0</v>
      </c>
      <c r="Q65" s="15">
        <f>SUM('rates, dates, etc'!U80:U82)/3</f>
        <v>0</v>
      </c>
      <c r="R65" s="15">
        <f>SUM('rates, dates, etc'!V80:V82)/3</f>
        <v>0</v>
      </c>
      <c r="S65" s="15">
        <f>SUM('rates, dates, etc'!W80:W82)/3</f>
        <v>0</v>
      </c>
      <c r="T65" s="15">
        <f>SUM('rates, dates, etc'!X80:X82)/3</f>
        <v>0</v>
      </c>
      <c r="U65" s="15">
        <f>SUM('rates, dates, etc'!Y80:Y82)/3</f>
        <v>0</v>
      </c>
      <c r="V65" s="15">
        <f>SUM('rates, dates, etc'!Z80:Z82)/3</f>
        <v>0</v>
      </c>
      <c r="W65" s="15">
        <f>SUM('rates, dates, etc'!AA80:AA82)/3</f>
        <v>0</v>
      </c>
      <c r="X65" s="15">
        <f>SUM('rates, dates, etc'!AB80:AB82)/3</f>
        <v>0</v>
      </c>
    </row>
    <row r="66" spans="14:26" x14ac:dyDescent="0.2">
      <c r="N66" s="3" t="s">
        <v>144</v>
      </c>
      <c r="O66" s="4">
        <f>(SUMIF('rates, dates, etc'!$R$96:$R$104,"Stipend (Fall)",'rates, dates, etc'!S96:S104))+
(SUMIF('rates, dates, etc'!$R$96:$R$104,"Stipend (Spring)",'rates, dates, etc'!S96:S104))</f>
        <v>0</v>
      </c>
      <c r="P66" s="4">
        <f>(SUMIF('rates, dates, etc'!$R$96:$R$104,"Stipend (Fall)",'rates, dates, etc'!T96:T104))+
(SUMIF('rates, dates, etc'!$R$96:$R$104,"Stipend (Spring)",'rates, dates, etc'!T96:T104))</f>
        <v>0</v>
      </c>
      <c r="Q66" s="4">
        <f>(SUMIF('rates, dates, etc'!$R$96:$R$104,"Stipend (Fall)",'rates, dates, etc'!U96:U104))+
(SUMIF('rates, dates, etc'!$R$96:$R$104,"Stipend (Spring)",'rates, dates, etc'!U96:U104))</f>
        <v>0</v>
      </c>
      <c r="R66" s="4">
        <f>(SUMIF('rates, dates, etc'!$R$96:$R$104,"Stipend (Fall)",'rates, dates, etc'!V96:V104))+
(SUMIF('rates, dates, etc'!$R$96:$R$104,"Stipend (Spring)",'rates, dates, etc'!V96:V104))</f>
        <v>0</v>
      </c>
      <c r="S66" s="4">
        <f>(SUMIF('rates, dates, etc'!$R$96:$R$104,"Stipend (Fall)",'rates, dates, etc'!W96:W104))+
(SUMIF('rates, dates, etc'!$R$96:$R$104,"Stipend (Spring)",'rates, dates, etc'!W96:W104))</f>
        <v>0</v>
      </c>
      <c r="T66" s="4">
        <f>(SUMIF('rates, dates, etc'!$R$96:$R$104,"Stipend (Fall)",'rates, dates, etc'!X96:X104))+
(SUMIF('rates, dates, etc'!$R$96:$R$104,"Stipend (Spring)",'rates, dates, etc'!X96:X104))</f>
        <v>0</v>
      </c>
      <c r="U66" s="4">
        <f>(SUMIF('rates, dates, etc'!$R$96:$R$104,"Stipend (Fall)",'rates, dates, etc'!Y96:Y104))+
(SUMIF('rates, dates, etc'!$R$96:$R$104,"Stipend (Spring)",'rates, dates, etc'!Y96:Y104))</f>
        <v>0</v>
      </c>
      <c r="V66" s="4">
        <f>(SUMIF('rates, dates, etc'!$R$96:$R$104,"Stipend (Fall)",'rates, dates, etc'!Z96:Z104))+
(SUMIF('rates, dates, etc'!$R$96:$R$104,"Stipend (Spring)",'rates, dates, etc'!Z96:Z104))</f>
        <v>0</v>
      </c>
      <c r="W66" s="4">
        <f>(SUMIF('rates, dates, etc'!$R$96:$R$104,"Stipend (Fall)",'rates, dates, etc'!AA96:AA104))+
(SUMIF('rates, dates, etc'!$R$96:$R$104,"Stipend (Spring)",'rates, dates, etc'!AA96:AA104))</f>
        <v>0</v>
      </c>
      <c r="X66" s="4">
        <f>(SUMIF('rates, dates, etc'!$R$96:$R$104,"Stipend (Fall)",'rates, dates, etc'!AB96:AB104))+
(SUMIF('rates, dates, etc'!$R$96:$R$104,"Stipend (Spring)",'rates, dates, etc'!AB96:AB104))</f>
        <v>0</v>
      </c>
    </row>
    <row r="67" spans="14:26" x14ac:dyDescent="0.2">
      <c r="N67" s="3" t="s">
        <v>145</v>
      </c>
      <c r="O67" s="4">
        <f>(SUMIF('rates, dates, etc'!$R$96:$R$104,"Stipend (Summer)",'rates, dates, etc'!S96:S104))</f>
        <v>0</v>
      </c>
      <c r="P67" s="4">
        <f>(SUMIF('rates, dates, etc'!$R$96:$R$104,"Stipend (Summer)",'rates, dates, etc'!T96:T104))</f>
        <v>0</v>
      </c>
      <c r="Q67" s="4">
        <f>(SUMIF('rates, dates, etc'!$R$96:$R$104,"Stipend (Summer)",'rates, dates, etc'!U96:U104))</f>
        <v>0</v>
      </c>
      <c r="R67" s="4">
        <f>(SUMIF('rates, dates, etc'!$R$96:$R$104,"Stipend (Summer)",'rates, dates, etc'!V96:V104))</f>
        <v>0</v>
      </c>
      <c r="S67" s="4">
        <f>(SUMIF('rates, dates, etc'!$R$96:$R$104,"Stipend (Summer)",'rates, dates, etc'!W96:W104))</f>
        <v>0</v>
      </c>
      <c r="T67" s="4">
        <f>(SUMIF('rates, dates, etc'!$R$96:$R$104,"Stipend (Summer)",'rates, dates, etc'!X96:X104))</f>
        <v>0</v>
      </c>
      <c r="U67" s="4">
        <f>(SUMIF('rates, dates, etc'!$R$96:$R$104,"Stipend (Summer)",'rates, dates, etc'!Y96:Y104))</f>
        <v>0</v>
      </c>
      <c r="V67" s="4">
        <f>(SUMIF('rates, dates, etc'!$R$96:$R$104,"Stipend (Summer)",'rates, dates, etc'!Z96:Z104))</f>
        <v>0</v>
      </c>
      <c r="W67" s="4">
        <f>(SUMIF('rates, dates, etc'!$R$96:$R$104,"Stipend (Summer)",'rates, dates, etc'!AA96:AA104))</f>
        <v>0</v>
      </c>
      <c r="X67" s="4">
        <f>(SUMIF('rates, dates, etc'!$R$96:$R$104,"Stipend (Summer)",'rates, dates, etc'!AB96:AB104))</f>
        <v>0</v>
      </c>
    </row>
    <row r="68" spans="14:26" x14ac:dyDescent="0.2">
      <c r="N68" s="3" t="s">
        <v>8</v>
      </c>
      <c r="O68" s="4">
        <f>(SUMIF('rates, dates, etc'!$R$96:$R$104,"Tuition (Fall)",'rates, dates, etc'!S96:S104))+
(SUMIF('rates, dates, etc'!$R$96:$R$104,"Tuition (Spring)",'rates, dates, etc'!S96:S104))+
(SUMIF('rates, dates, etc'!$R$96:$R$104,"Tuition (Summer)",'rates, dates, etc'!S96:S104))</f>
        <v>0</v>
      </c>
      <c r="P68" s="4">
        <f>(SUMIF('rates, dates, etc'!$R$96:$R$104,"Tuition (Fall)",'rates, dates, etc'!T96:T104))+
(SUMIF('rates, dates, etc'!$R$96:$R$104,"Tuition (Spring)",'rates, dates, etc'!T96:T104))+
(SUMIF('rates, dates, etc'!$R$96:$R$104,"Tuition (Summer)",'rates, dates, etc'!T96:T104))</f>
        <v>0</v>
      </c>
      <c r="Q68" s="4">
        <f>(SUMIF('rates, dates, etc'!$R$96:$R$104,"Tuition (Fall)",'rates, dates, etc'!U96:U104))+
(SUMIF('rates, dates, etc'!$R$96:$R$104,"Tuition (Spring)",'rates, dates, etc'!U96:U104))+
(SUMIF('rates, dates, etc'!$R$96:$R$104,"Tuition (Summer)",'rates, dates, etc'!U96:U104))</f>
        <v>0</v>
      </c>
      <c r="R68" s="4">
        <f>(SUMIF('rates, dates, etc'!$R$96:$R$104,"Tuition (Fall)",'rates, dates, etc'!V96:V104))+
(SUMIF('rates, dates, etc'!$R$96:$R$104,"Tuition (Spring)",'rates, dates, etc'!V96:V104))+
(SUMIF('rates, dates, etc'!$R$96:$R$104,"Tuition (Summer)",'rates, dates, etc'!V96:V104))</f>
        <v>0</v>
      </c>
      <c r="S68" s="4">
        <f>(SUMIF('rates, dates, etc'!$R$96:$R$104,"Tuition (Fall)",'rates, dates, etc'!W96:W104))+
(SUMIF('rates, dates, etc'!$R$96:$R$104,"Tuition (Spring)",'rates, dates, etc'!W96:W104))+
(SUMIF('rates, dates, etc'!$R$96:$R$104,"Tuition (Summer)",'rates, dates, etc'!W96:W104))</f>
        <v>0</v>
      </c>
      <c r="T68" s="4">
        <f>(SUMIF('rates, dates, etc'!$R$96:$R$104,"Tuition (Fall)",'rates, dates, etc'!X96:X104))+
(SUMIF('rates, dates, etc'!$R$96:$R$104,"Tuition (Spring)",'rates, dates, etc'!X96:X104))+
(SUMIF('rates, dates, etc'!$R$96:$R$104,"Tuition (Summer)",'rates, dates, etc'!X96:X104))</f>
        <v>0</v>
      </c>
      <c r="U68" s="4">
        <f>(SUMIF('rates, dates, etc'!$R$96:$R$104,"Tuition (Fall)",'rates, dates, etc'!Y96:Y104))+
(SUMIF('rates, dates, etc'!$R$96:$R$104,"Tuition (Spring)",'rates, dates, etc'!Y96:Y104))+
(SUMIF('rates, dates, etc'!$R$96:$R$104,"Tuition (Summer)",'rates, dates, etc'!Y96:Y104))</f>
        <v>0</v>
      </c>
      <c r="V68" s="4">
        <f>(SUMIF('rates, dates, etc'!$R$96:$R$104,"Tuition (Fall)",'rates, dates, etc'!Z96:Z104))+
(SUMIF('rates, dates, etc'!$R$96:$R$104,"Tuition (Spring)",'rates, dates, etc'!Z96:Z104))+
(SUMIF('rates, dates, etc'!$R$96:$R$104,"Tuition (Summer)",'rates, dates, etc'!Z96:Z104))</f>
        <v>0</v>
      </c>
      <c r="W68" s="4">
        <f>(SUMIF('rates, dates, etc'!$R$96:$R$104,"Tuition (Fall)",'rates, dates, etc'!AA96:AA104))+
(SUMIF('rates, dates, etc'!$R$96:$R$104,"Tuition (Spring)",'rates, dates, etc'!AA96:AA104))+
(SUMIF('rates, dates, etc'!$R$96:$R$104,"Tuition (Summer)",'rates, dates, etc'!AA96:AA104))</f>
        <v>0</v>
      </c>
      <c r="X68" s="4">
        <f>(SUMIF('rates, dates, etc'!$R$96:$R$104,"Tuition (Fall)",'rates, dates, etc'!AB96:AB104))+
(SUMIF('rates, dates, etc'!$R$96:$R$104,"Tuition (Spring)",'rates, dates, etc'!AB96:AB104))+
(SUMIF('rates, dates, etc'!$R$96:$R$104,"Tuition (Summer)",'rates, dates, etc'!AB96:AB104))</f>
        <v>0</v>
      </c>
    </row>
    <row r="69" spans="14:26" x14ac:dyDescent="0.2">
      <c r="N69" s="3" t="s">
        <v>9</v>
      </c>
      <c r="O69" s="4">
        <f>(SUMIF('rates, dates, etc'!$R$96:$R$104,"Health Insurance (Fall)",'rates, dates, etc'!S96:S104))+
(SUMIF('rates, dates, etc'!$R$96:$R$104,"Health Insurance (Spring)",'rates, dates, etc'!S96:S104))+
(SUMIF('rates, dates, etc'!$R$96:$R$104,"Health Insurance (Summer)",'rates, dates, etc'!S96:S104))</f>
        <v>0</v>
      </c>
      <c r="P69" s="4">
        <f>(SUMIF('rates, dates, etc'!$R$96:$R$104,"Health Insurance (Fall)",'rates, dates, etc'!T96:T104))+
(SUMIF('rates, dates, etc'!$R$96:$R$104,"Health Insurance (Spring)",'rates, dates, etc'!T96:T104))+
(SUMIF('rates, dates, etc'!$R$96:$R$104,"Health Insurance (Summer)",'rates, dates, etc'!T96:T104))</f>
        <v>0</v>
      </c>
      <c r="Q69" s="4">
        <f>(SUMIF('rates, dates, etc'!$R$96:$R$104,"Health Insurance (Fall)",'rates, dates, etc'!U96:U104))+
(SUMIF('rates, dates, etc'!$R$96:$R$104,"Health Insurance (Spring)",'rates, dates, etc'!U96:U104))+
(SUMIF('rates, dates, etc'!$R$96:$R$104,"Health Insurance (Summer)",'rates, dates, etc'!U96:U104))</f>
        <v>0</v>
      </c>
      <c r="R69" s="4">
        <f>(SUMIF('rates, dates, etc'!$R$96:$R$104,"Health Insurance (Fall)",'rates, dates, etc'!V96:V104))+
(SUMIF('rates, dates, etc'!$R$96:$R$104,"Health Insurance (Spring)",'rates, dates, etc'!V96:V104))+
(SUMIF('rates, dates, etc'!$R$96:$R$104,"Health Insurance (Summer)",'rates, dates, etc'!V96:V104))</f>
        <v>0</v>
      </c>
      <c r="S69" s="4">
        <f>(SUMIF('rates, dates, etc'!$R$96:$R$104,"Health Insurance (Fall)",'rates, dates, etc'!W96:W104))+
(SUMIF('rates, dates, etc'!$R$96:$R$104,"Health Insurance (Spring)",'rates, dates, etc'!W96:W104))+
(SUMIF('rates, dates, etc'!$R$96:$R$104,"Health Insurance (Summer)",'rates, dates, etc'!W96:W104))</f>
        <v>0</v>
      </c>
      <c r="T69" s="4">
        <f>(SUMIF('rates, dates, etc'!$R$96:$R$104,"Health Insurance (Fall)",'rates, dates, etc'!X96:X104))+
(SUMIF('rates, dates, etc'!$R$96:$R$104,"Health Insurance (Spring)",'rates, dates, etc'!X96:X104))+
(SUMIF('rates, dates, etc'!$R$96:$R$104,"Health Insurance (Summer)",'rates, dates, etc'!X96:X104))</f>
        <v>0</v>
      </c>
      <c r="U69" s="4">
        <f>(SUMIF('rates, dates, etc'!$R$96:$R$104,"Health Insurance (Fall)",'rates, dates, etc'!Y96:Y104))+
(SUMIF('rates, dates, etc'!$R$96:$R$104,"Health Insurance (Spring)",'rates, dates, etc'!Y96:Y104))+
(SUMIF('rates, dates, etc'!$R$96:$R$104,"Health Insurance (Summer)",'rates, dates, etc'!Y96:Y104))</f>
        <v>0</v>
      </c>
      <c r="V69" s="4">
        <f>(SUMIF('rates, dates, etc'!$R$96:$R$104,"Health Insurance (Fall)",'rates, dates, etc'!Z96:Z104))+
(SUMIF('rates, dates, etc'!$R$96:$R$104,"Health Insurance (Spring)",'rates, dates, etc'!Z96:Z104))+
(SUMIF('rates, dates, etc'!$R$96:$R$104,"Health Insurance (Summer)",'rates, dates, etc'!Z96:Z104))</f>
        <v>0</v>
      </c>
      <c r="W69" s="4">
        <f>(SUMIF('rates, dates, etc'!$R$96:$R$104,"Health Insurance (Fall)",'rates, dates, etc'!AA96:AA104))+
(SUMIF('rates, dates, etc'!$R$96:$R$104,"Health Insurance (Spring)",'rates, dates, etc'!AA96:AA104))+
(SUMIF('rates, dates, etc'!$R$96:$R$104,"Health Insurance (Summer)",'rates, dates, etc'!AA96:AA104))</f>
        <v>0</v>
      </c>
      <c r="X69" s="4">
        <f>(SUMIF('rates, dates, etc'!$R$96:$R$104,"Health Insurance (Fall)",'rates, dates, etc'!AB96:AB104))+
(SUMIF('rates, dates, etc'!$R$96:$R$104,"Health Insurance (Spring)",'rates, dates, etc'!AB96:AB104))+
(SUMIF('rates, dates, etc'!$R$96:$R$104,"Health Insurance (Summer)",'rates, dates, etc'!AB96:AB104))</f>
        <v>0</v>
      </c>
    </row>
    <row r="70" spans="14:26" ht="12" thickBot="1" x14ac:dyDescent="0.25">
      <c r="N70" s="13" t="s">
        <v>31</v>
      </c>
      <c r="O70" s="16">
        <f t="shared" ref="O70:T70" si="47">SUM(O66:O69)</f>
        <v>0</v>
      </c>
      <c r="P70" s="16">
        <f t="shared" si="47"/>
        <v>0</v>
      </c>
      <c r="Q70" s="16">
        <f t="shared" si="47"/>
        <v>0</v>
      </c>
      <c r="R70" s="16">
        <f t="shared" si="47"/>
        <v>0</v>
      </c>
      <c r="S70" s="16">
        <f t="shared" si="47"/>
        <v>0</v>
      </c>
      <c r="T70" s="16">
        <f t="shared" si="47"/>
        <v>0</v>
      </c>
      <c r="U70" s="16">
        <f t="shared" ref="U70" si="48">SUM(U66:U69)</f>
        <v>0</v>
      </c>
      <c r="V70" s="16">
        <f t="shared" ref="V70" si="49">SUM(V66:V69)</f>
        <v>0</v>
      </c>
      <c r="W70" s="16">
        <f t="shared" ref="W70" si="50">SUM(W66:W69)</f>
        <v>0</v>
      </c>
      <c r="X70" s="16">
        <f t="shared" ref="X70" si="51">SUM(X66:X69)</f>
        <v>0</v>
      </c>
    </row>
    <row r="74" spans="14:26" x14ac:dyDescent="0.2">
      <c r="N74" s="44" t="s">
        <v>33</v>
      </c>
    </row>
    <row r="75" spans="14:26" x14ac:dyDescent="0.2">
      <c r="N75" s="64" t="s">
        <v>103</v>
      </c>
      <c r="O75" s="65" t="str">
        <f>+'rates, dates, etc'!AE5</f>
        <v>FY2026</v>
      </c>
      <c r="P75" s="65" t="str">
        <f>+'rates, dates, etc'!AF5</f>
        <v>FY2027</v>
      </c>
      <c r="Q75" s="65" t="str">
        <f>+'rates, dates, etc'!AG5</f>
        <v>FY2028</v>
      </c>
      <c r="R75" s="65" t="str">
        <f>+'rates, dates, etc'!AH5</f>
        <v>FY2029</v>
      </c>
      <c r="S75" s="65" t="str">
        <f>+'rates, dates, etc'!AI5</f>
        <v>FY2030</v>
      </c>
      <c r="T75" s="65" t="str">
        <f>+'rates, dates, etc'!AJ5</f>
        <v>FY2031</v>
      </c>
      <c r="U75" s="65" t="str">
        <f>+'rates, dates, etc'!AK5</f>
        <v>FY2032</v>
      </c>
      <c r="V75" s="65" t="str">
        <f>+'rates, dates, etc'!AL5</f>
        <v>FY2033</v>
      </c>
      <c r="W75" s="65" t="str">
        <f>+'rates, dates, etc'!AM5</f>
        <v>FY2034</v>
      </c>
      <c r="X75" s="65" t="str">
        <f>+'rates, dates, etc'!AN5</f>
        <v>FY2035</v>
      </c>
      <c r="Y75" s="65" t="str">
        <f>+'rates, dates, etc'!AO5</f>
        <v>FY2036</v>
      </c>
      <c r="Z75" s="65"/>
    </row>
    <row r="76" spans="14:26" x14ac:dyDescent="0.2">
      <c r="N76" s="2" t="str">
        <f>+'rates, dates, etc'!A38</f>
        <v xml:space="preserve">   Endowed - Senior Personnel</v>
      </c>
      <c r="O76" s="9">
        <f>IF('rates, dates, etc'!B37='rates, dates, etc'!AE5,'rates, dates, etc'!B38,'rates, dates, etc'!C38)</f>
        <v>0.35</v>
      </c>
      <c r="P76" s="9">
        <f>IF('rates, dates, etc'!C37='rates, dates, etc'!AF5,'rates, dates, etc'!C38,'rates, dates, etc'!D38)</f>
        <v>0.35499999999999998</v>
      </c>
      <c r="Q76" s="9">
        <f>IF('rates, dates, etc'!D37='rates, dates, etc'!AG5,'rates, dates, etc'!D38,'rates, dates, etc'!E38)</f>
        <v>0.37</v>
      </c>
      <c r="R76" s="9">
        <f>IF('rates, dates, etc'!E37='rates, dates, etc'!AH5,'rates, dates, etc'!E38,'rates, dates, etc'!F38)</f>
        <v>0.37</v>
      </c>
      <c r="S76" s="9">
        <f>IF('rates, dates, etc'!F37='rates, dates, etc'!AI5,'rates, dates, etc'!F38,'rates, dates, etc'!G38)</f>
        <v>0.37</v>
      </c>
      <c r="T76" s="9">
        <f>IF('rates, dates, etc'!G37='rates, dates, etc'!AJ5,'rates, dates, etc'!G38,'rates, dates, etc'!H38)</f>
        <v>0.37</v>
      </c>
      <c r="U76" s="9">
        <f>IF('rates, dates, etc'!H37='rates, dates, etc'!AK5,'rates, dates, etc'!H38,'rates, dates, etc'!I38)</f>
        <v>0.37</v>
      </c>
      <c r="V76" s="9">
        <f>IF('rates, dates, etc'!I37='rates, dates, etc'!AL5,'rates, dates, etc'!I38,'rates, dates, etc'!J38)</f>
        <v>0.37</v>
      </c>
      <c r="W76" s="9">
        <f>IF('rates, dates, etc'!J37='rates, dates, etc'!AM5,'rates, dates, etc'!J38,'rates, dates, etc'!K38)</f>
        <v>0.37</v>
      </c>
      <c r="X76" s="9">
        <f>IF('rates, dates, etc'!K37='rates, dates, etc'!AN5,'rates, dates, etc'!K38,'rates, dates, etc'!L38)</f>
        <v>0.37</v>
      </c>
      <c r="Y76" s="9">
        <f>IF('rates, dates, etc'!L37='rates, dates, etc'!AO5,'rates, dates, etc'!L38,'rates, dates, etc'!M38)</f>
        <v>0.37</v>
      </c>
      <c r="Z76" s="9"/>
    </row>
    <row r="77" spans="14:26" x14ac:dyDescent="0.2">
      <c r="O77" s="1"/>
      <c r="P77" s="1"/>
    </row>
    <row r="78" spans="14:26" x14ac:dyDescent="0.2">
      <c r="N78" s="64" t="s">
        <v>104</v>
      </c>
      <c r="O78" s="45" t="str">
        <f>+'rates, dates, etc'!AE4</f>
        <v>FY2025</v>
      </c>
      <c r="P78" s="45" t="str">
        <f>+'rates, dates, etc'!AF4</f>
        <v>FY2026</v>
      </c>
      <c r="Q78" s="45" t="str">
        <f>+'rates, dates, etc'!AG4</f>
        <v>FY2027</v>
      </c>
      <c r="R78" s="45" t="str">
        <f>+'rates, dates, etc'!AH4</f>
        <v>FY2028</v>
      </c>
      <c r="S78" s="45" t="str">
        <f>+'rates, dates, etc'!AI4</f>
        <v>FY2029</v>
      </c>
      <c r="T78" s="45" t="str">
        <f>+'rates, dates, etc'!AJ4</f>
        <v>FY2030</v>
      </c>
      <c r="U78" s="45" t="str">
        <f>+'rates, dates, etc'!AK4</f>
        <v>FY2031</v>
      </c>
      <c r="V78" s="45" t="str">
        <f>+'rates, dates, etc'!AL4</f>
        <v>FY2032</v>
      </c>
      <c r="W78" s="45" t="str">
        <f>+'rates, dates, etc'!AM4</f>
        <v>FY2033</v>
      </c>
      <c r="X78" s="45" t="str">
        <f>+'rates, dates, etc'!AN4</f>
        <v>FY2034</v>
      </c>
      <c r="Y78" s="45" t="str">
        <f>+'rates, dates, etc'!AO4</f>
        <v>FY2035</v>
      </c>
      <c r="Z78" s="45" t="str">
        <f>+'rates, dates, etc'!AP4</f>
        <v>FY2036</v>
      </c>
    </row>
    <row r="79" spans="14:26" x14ac:dyDescent="0.2">
      <c r="N79" s="2" t="str">
        <f>+'rates, dates, etc'!A38</f>
        <v xml:space="preserve">   Endowed - Senior Personnel</v>
      </c>
      <c r="O79" s="123">
        <f>+'rates, dates, etc'!B38</f>
        <v>0.35</v>
      </c>
      <c r="P79" s="123">
        <f>+'rates, dates, etc'!C38</f>
        <v>0.35</v>
      </c>
      <c r="Q79" s="123">
        <f>+'rates, dates, etc'!D38</f>
        <v>0.35499999999999998</v>
      </c>
      <c r="R79" s="123">
        <f>+'rates, dates, etc'!E38</f>
        <v>0.37</v>
      </c>
      <c r="S79" s="123">
        <f>+'rates, dates, etc'!F38</f>
        <v>0.37</v>
      </c>
      <c r="T79" s="123">
        <f>+'rates, dates, etc'!G38</f>
        <v>0.37</v>
      </c>
      <c r="U79" s="123">
        <f>+'rates, dates, etc'!H38</f>
        <v>0.37</v>
      </c>
      <c r="V79" s="123">
        <f>+'rates, dates, etc'!I38</f>
        <v>0.37</v>
      </c>
      <c r="W79" s="123">
        <f>+'rates, dates, etc'!J38</f>
        <v>0.37</v>
      </c>
      <c r="X79" s="123">
        <f>+'rates, dates, etc'!K38</f>
        <v>0.37</v>
      </c>
      <c r="Y79" s="123">
        <f>+'rates, dates, etc'!L38</f>
        <v>0.37</v>
      </c>
      <c r="Z79" s="123">
        <f>+'rates, dates, etc'!M38</f>
        <v>0.37</v>
      </c>
    </row>
    <row r="80" spans="14:26" x14ac:dyDescent="0.2">
      <c r="N80" s="1" t="str">
        <f>+'rates, dates, etc'!A39</f>
        <v xml:space="preserve">   Endowed - Post Doc</v>
      </c>
      <c r="O80" s="1">
        <f>+'rates, dates, etc'!B39</f>
        <v>0.35</v>
      </c>
      <c r="P80" s="1">
        <f>+'rates, dates, etc'!C39</f>
        <v>0.35</v>
      </c>
      <c r="Q80" s="1">
        <f>+'rates, dates, etc'!D39</f>
        <v>0.35499999999999998</v>
      </c>
      <c r="R80" s="1">
        <f>+'rates, dates, etc'!E39</f>
        <v>0.37</v>
      </c>
      <c r="S80" s="1">
        <f>+'rates, dates, etc'!F39</f>
        <v>0.37</v>
      </c>
      <c r="T80" s="1">
        <f>+'rates, dates, etc'!G39</f>
        <v>0.37</v>
      </c>
      <c r="U80" s="1">
        <f>+'rates, dates, etc'!H39</f>
        <v>0.37</v>
      </c>
      <c r="V80" s="1">
        <f>+'rates, dates, etc'!I39</f>
        <v>0.37</v>
      </c>
      <c r="W80" s="1">
        <f>+'rates, dates, etc'!J39</f>
        <v>0.37</v>
      </c>
      <c r="X80" s="1">
        <f>+'rates, dates, etc'!K39</f>
        <v>0.37</v>
      </c>
      <c r="Y80" s="1">
        <f>+'rates, dates, etc'!L39</f>
        <v>0.37</v>
      </c>
      <c r="Z80" s="1">
        <f>+'rates, dates, etc'!M39</f>
        <v>0.37</v>
      </c>
    </row>
    <row r="81" spans="14:26" x14ac:dyDescent="0.2">
      <c r="N81" s="1" t="str">
        <f>+'rates, dates, etc'!A40</f>
        <v xml:space="preserve">   Endowed - Other Employee</v>
      </c>
      <c r="O81" s="1">
        <f>+'rates, dates, etc'!B40</f>
        <v>0.35</v>
      </c>
      <c r="P81" s="1">
        <f>+'rates, dates, etc'!C40</f>
        <v>0.35</v>
      </c>
      <c r="Q81" s="1">
        <f>+'rates, dates, etc'!D40</f>
        <v>0.35499999999999998</v>
      </c>
      <c r="R81" s="1">
        <f>+'rates, dates, etc'!E40</f>
        <v>0.37</v>
      </c>
      <c r="S81" s="1">
        <f>+'rates, dates, etc'!F40</f>
        <v>0.37</v>
      </c>
      <c r="T81" s="1">
        <f>+'rates, dates, etc'!G40</f>
        <v>0.37</v>
      </c>
      <c r="U81" s="1">
        <f>+'rates, dates, etc'!H40</f>
        <v>0.37</v>
      </c>
      <c r="V81" s="1">
        <f>+'rates, dates, etc'!I40</f>
        <v>0.37</v>
      </c>
      <c r="W81" s="1">
        <f>+'rates, dates, etc'!J40</f>
        <v>0.37</v>
      </c>
      <c r="X81" s="1">
        <f>+'rates, dates, etc'!K40</f>
        <v>0.37</v>
      </c>
      <c r="Y81" s="1">
        <f>+'rates, dates, etc'!L40</f>
        <v>0.37</v>
      </c>
      <c r="Z81" s="1">
        <f>+'rates, dates, etc'!M40</f>
        <v>0.37</v>
      </c>
    </row>
    <row r="83" spans="14:26" x14ac:dyDescent="0.2">
      <c r="N83" s="64" t="str">
        <f>+'rates, dates, etc'!A42</f>
        <v/>
      </c>
      <c r="O83" s="9" t="str">
        <f>+'rates, dates, etc'!B42</f>
        <v/>
      </c>
      <c r="P83" s="9" t="str">
        <f>+'rates, dates, etc'!C42</f>
        <v/>
      </c>
      <c r="Q83" s="9" t="str">
        <f>+'rates, dates, etc'!D42</f>
        <v/>
      </c>
      <c r="R83" s="9" t="str">
        <f>+'rates, dates, etc'!E42</f>
        <v/>
      </c>
      <c r="S83" s="9" t="str">
        <f>+'rates, dates, etc'!F42</f>
        <v/>
      </c>
      <c r="T83" s="9" t="str">
        <f>+'rates, dates, etc'!G42</f>
        <v/>
      </c>
      <c r="U83" s="9" t="str">
        <f>+'rates, dates, etc'!H42</f>
        <v/>
      </c>
      <c r="V83" s="9" t="str">
        <f>+'rates, dates, etc'!I42</f>
        <v/>
      </c>
      <c r="W83" s="9" t="str">
        <f>+'rates, dates, etc'!J42</f>
        <v/>
      </c>
      <c r="X83" s="9" t="str">
        <f>+'rates, dates, etc'!K42</f>
        <v/>
      </c>
      <c r="Y83" s="9" t="str">
        <f>+'rates, dates, etc'!L42</f>
        <v/>
      </c>
      <c r="Z83" s="9" t="str">
        <f>+'rates, dates, etc'!M42</f>
        <v/>
      </c>
    </row>
    <row r="84" spans="14:26" x14ac:dyDescent="0.2">
      <c r="N84" s="64" t="str">
        <f>+'rates, dates, etc'!A41</f>
        <v>Cornell IDC Rate - Endowed College</v>
      </c>
      <c r="O84" s="1">
        <f>+'rates, dates, etc'!B41</f>
        <v>0.64</v>
      </c>
      <c r="P84" s="1">
        <f>+'rates, dates, etc'!C41</f>
        <v>0.64</v>
      </c>
      <c r="Q84" s="1">
        <f>+'rates, dates, etc'!D41</f>
        <v>0.64</v>
      </c>
      <c r="R84" s="1">
        <f>+'rates, dates, etc'!E41</f>
        <v>0.64</v>
      </c>
      <c r="S84" s="1">
        <f>+'rates, dates, etc'!F41</f>
        <v>0.64</v>
      </c>
      <c r="T84" s="1">
        <f>+'rates, dates, etc'!G41</f>
        <v>0.64</v>
      </c>
      <c r="U84" s="1">
        <f>+'rates, dates, etc'!H41</f>
        <v>0.64</v>
      </c>
      <c r="V84" s="1">
        <f>+'rates, dates, etc'!I41</f>
        <v>0.64</v>
      </c>
      <c r="W84" s="1">
        <f>+'rates, dates, etc'!J41</f>
        <v>0.64</v>
      </c>
      <c r="X84" s="1">
        <f>+'rates, dates, etc'!K41</f>
        <v>0.64</v>
      </c>
      <c r="Y84" s="1">
        <f>+'rates, dates, etc'!L41</f>
        <v>0.64</v>
      </c>
      <c r="Z84" s="1">
        <f>+'rates, dates, etc'!M41</f>
        <v>0.64</v>
      </c>
    </row>
    <row r="85" spans="14:26" x14ac:dyDescent="0.2">
      <c r="S85" s="5"/>
      <c r="T85" s="5"/>
    </row>
    <row r="86" spans="14:26" x14ac:dyDescent="0.2">
      <c r="N86" s="47" t="str">
        <f>+'rates, dates, etc'!O40</f>
        <v>Pro-rating factor for 12 month appts.:</v>
      </c>
      <c r="O86" s="9" t="s">
        <v>36</v>
      </c>
      <c r="P86" s="9" t="s">
        <v>52</v>
      </c>
      <c r="S86" s="5"/>
      <c r="T86" s="5"/>
    </row>
    <row r="87" spans="14:26" x14ac:dyDescent="0.2">
      <c r="N87" s="48" t="s">
        <v>46</v>
      </c>
      <c r="O87" s="44">
        <f>+'rates, dates, etc'!P41</f>
        <v>6</v>
      </c>
      <c r="P87" s="44">
        <f>+'rates, dates, etc'!Q41</f>
        <v>0.5</v>
      </c>
      <c r="S87" s="5"/>
      <c r="T87" s="5"/>
    </row>
    <row r="88" spans="14:26" x14ac:dyDescent="0.2">
      <c r="N88" s="48" t="s">
        <v>47</v>
      </c>
      <c r="O88" s="44">
        <f>+'rates, dates, etc'!P42</f>
        <v>6</v>
      </c>
      <c r="P88" s="44">
        <f>+'rates, dates, etc'!Q42</f>
        <v>0.5</v>
      </c>
    </row>
    <row r="89" spans="14:26" x14ac:dyDescent="0.2">
      <c r="N89" s="46"/>
      <c r="O89" s="49">
        <f>SUM(O87:O88)</f>
        <v>12</v>
      </c>
      <c r="P89" s="1" t="s">
        <v>83</v>
      </c>
    </row>
    <row r="90" spans="14:26" x14ac:dyDescent="0.2">
      <c r="N90" s="1"/>
      <c r="O90" s="1"/>
      <c r="P90" s="1"/>
    </row>
    <row r="102" spans="2:2" x14ac:dyDescent="0.2">
      <c r="B102" s="407">
        <f>'Lead Budget'!B6</f>
        <v>46022</v>
      </c>
    </row>
  </sheetData>
  <pageMargins left="0.75" right="0.53" top="0.7" bottom="0.64" header="0.5" footer="0.5"/>
  <pageSetup scale="95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10377508-12E6-45B8-B59E-4D3CBAB326FE}">
            <xm:f>'rates, dates, etc'!$B$8="Yes"</xm:f>
            <x14:dxf/>
          </x14:cfRule>
          <x14:cfRule type="expression" priority="6" id="{65184439-F2A6-4007-A85F-C38B0B9D9F8A}">
            <xm:f>'Budget Summary'!$L$103&lt;'Budget Summary'!$L$104</xm:f>
            <x14:dxf>
              <font>
                <color rgb="FFFF0000"/>
              </font>
            </x14:dxf>
          </x14:cfRule>
          <xm:sqref>A61:L61</xm:sqref>
        </x14:conditionalFormatting>
        <x14:conditionalFormatting xmlns:xm="http://schemas.microsoft.com/office/excel/2006/main">
          <x14:cfRule type="expression" priority="3" stopIfTrue="1" id="{351722A2-27C6-496D-BE6F-2DF5F501F9CE}">
            <xm:f>'rates, dates, etc'!$B$8="Yes"</xm:f>
            <x14:dxf>
              <font>
                <color rgb="FFFF0000"/>
              </font>
            </x14:dxf>
          </x14:cfRule>
          <x14:cfRule type="expression" priority="4" id="{98331237-CA6B-4A1D-8CF5-8A39390FABD8}">
            <xm:f>'Budget Summary'!$L$104&lt;'Budget Summary'!$L$103</xm:f>
            <x14:dxf>
              <font>
                <color rgb="FFFF0000"/>
              </font>
            </x14:dxf>
          </x14:cfRule>
          <xm:sqref>A62:L62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AA90"/>
  <sheetViews>
    <sheetView topLeftCell="A18" zoomScale="130" zoomScaleNormal="130" workbookViewId="0">
      <selection activeCell="A45" sqref="A45"/>
    </sheetView>
  </sheetViews>
  <sheetFormatPr defaultColWidth="9.140625" defaultRowHeight="11.25" x14ac:dyDescent="0.2"/>
  <cols>
    <col min="1" max="1" width="33.42578125" style="1" customWidth="1"/>
    <col min="2" max="11" width="8.42578125" style="1" customWidth="1"/>
    <col min="12" max="12" width="9.5703125" style="2" bestFit="1" customWidth="1"/>
    <col min="13" max="13" width="11" style="2" customWidth="1"/>
    <col min="14" max="14" width="29.140625" style="2" customWidth="1"/>
    <col min="15" max="16" width="9.85546875" style="2" customWidth="1"/>
    <col min="17" max="18" width="9.7109375" style="1" customWidth="1"/>
    <col min="19" max="16384" width="9.140625" style="1"/>
  </cols>
  <sheetData>
    <row r="1" spans="1:13" ht="12.75" x14ac:dyDescent="0.2">
      <c r="A1" s="67">
        <f>+'rates, dates, etc'!B4</f>
        <v>0</v>
      </c>
      <c r="D1" s="56"/>
    </row>
    <row r="2" spans="1:13" ht="12.75" x14ac:dyDescent="0.2">
      <c r="A2" s="67" t="str">
        <f>+'rates, dates, etc'!B3</f>
        <v>NSF</v>
      </c>
      <c r="M2" s="56"/>
    </row>
    <row r="3" spans="1:13" ht="12.75" customHeight="1" thickBot="1" x14ac:dyDescent="0.25"/>
    <row r="4" spans="1:13" x14ac:dyDescent="0.2">
      <c r="A4" s="68" t="str">
        <f ca="1">CONCATENATE("Cornell University - ",'rates, dates, etc'!A15)</f>
        <v>Cornell University - Co-PI Budget (1)</v>
      </c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242"/>
    </row>
    <row r="5" spans="1:13" ht="12" thickBot="1" x14ac:dyDescent="0.25">
      <c r="A5" s="68" t="str">
        <f>CONCATENATE("Co-PI: ",'rates, dates, etc'!B15)</f>
        <v>Co-PI: Co-PI</v>
      </c>
      <c r="B5" s="243">
        <f>+'rates, dates, etc'!B5</f>
        <v>45658</v>
      </c>
      <c r="C5" s="243">
        <f>+B6+1</f>
        <v>46023</v>
      </c>
      <c r="D5" s="243">
        <f t="shared" ref="D5:G5" si="0">+C6+1</f>
        <v>46388</v>
      </c>
      <c r="E5" s="243">
        <f t="shared" si="0"/>
        <v>46753</v>
      </c>
      <c r="F5" s="243">
        <f t="shared" si="0"/>
        <v>47119</v>
      </c>
      <c r="G5" s="243">
        <f t="shared" si="0"/>
        <v>47484</v>
      </c>
      <c r="H5" s="243">
        <f t="shared" ref="H5" si="1">+G6+1</f>
        <v>47849</v>
      </c>
      <c r="I5" s="243">
        <f t="shared" ref="I5" si="2">+H6+1</f>
        <v>48214</v>
      </c>
      <c r="J5" s="243">
        <f t="shared" ref="J5" si="3">+I6+1</f>
        <v>48580</v>
      </c>
      <c r="K5" s="243">
        <f t="shared" ref="K5" si="4">+J6+1</f>
        <v>48945</v>
      </c>
      <c r="L5" s="244"/>
    </row>
    <row r="6" spans="1:13" ht="12" thickBot="1" x14ac:dyDescent="0.25">
      <c r="A6" s="71" t="s">
        <v>4</v>
      </c>
      <c r="B6" s="245">
        <f>DATE(YEAR(B5), MONTH(B5) + 12, DAY(B5))-1</f>
        <v>46022</v>
      </c>
      <c r="C6" s="245">
        <f t="shared" ref="C6:F6" si="5">DATE(YEAR(C5), MONTH(C5) + 12, DAY(C5))-1</f>
        <v>46387</v>
      </c>
      <c r="D6" s="245">
        <f t="shared" si="5"/>
        <v>46752</v>
      </c>
      <c r="E6" s="245">
        <f t="shared" si="5"/>
        <v>47118</v>
      </c>
      <c r="F6" s="245">
        <f t="shared" si="5"/>
        <v>47483</v>
      </c>
      <c r="G6" s="245">
        <f t="shared" ref="G6:K6" si="6">DATE(YEAR(G5), MONTH(G5) + 12, DAY(G5))-1</f>
        <v>47848</v>
      </c>
      <c r="H6" s="245">
        <f t="shared" si="6"/>
        <v>48213</v>
      </c>
      <c r="I6" s="245">
        <f t="shared" si="6"/>
        <v>48579</v>
      </c>
      <c r="J6" s="245">
        <f t="shared" si="6"/>
        <v>48944</v>
      </c>
      <c r="K6" s="245">
        <f t="shared" si="6"/>
        <v>49309</v>
      </c>
      <c r="L6" s="262" t="s">
        <v>5</v>
      </c>
    </row>
    <row r="7" spans="1:13" x14ac:dyDescent="0.2">
      <c r="A7" s="74" t="s">
        <v>111</v>
      </c>
      <c r="L7" s="8" t="s">
        <v>6</v>
      </c>
    </row>
    <row r="8" spans="1:13" x14ac:dyDescent="0.2">
      <c r="A8" s="3" t="str">
        <f>+'rates, dates, etc'!A129</f>
        <v>Co-PI</v>
      </c>
      <c r="B8" s="17">
        <f>HLOOKUP(B$4,'rates, dates, etc'!B128:I134,7,FALSE)</f>
        <v>0</v>
      </c>
      <c r="C8" s="17">
        <f>HLOOKUP(C$4,'rates, dates, etc'!C128:O134,7,FALSE)</f>
        <v>0</v>
      </c>
      <c r="D8" s="17">
        <f>HLOOKUP(D$4,'rates, dates, etc'!D128:P134,7,FALSE)</f>
        <v>0</v>
      </c>
      <c r="E8" s="17">
        <f>HLOOKUP(E$4,'rates, dates, etc'!E128:Q134,7,FALSE)</f>
        <v>0</v>
      </c>
      <c r="F8" s="17">
        <f>HLOOKUP(F$4,'rates, dates, etc'!F128:R134,7,FALSE)</f>
        <v>0</v>
      </c>
      <c r="G8" s="17">
        <f>HLOOKUP(G$4,'rates, dates, etc'!G128:S134,7,FALSE)</f>
        <v>0</v>
      </c>
      <c r="H8" s="17">
        <f>HLOOKUP(H$4,'rates, dates, etc'!H128:T134,7,FALSE)</f>
        <v>0</v>
      </c>
      <c r="I8" s="17">
        <f>HLOOKUP(I$4,'rates, dates, etc'!I128:U134,7,FALSE)</f>
        <v>0</v>
      </c>
      <c r="J8" s="17">
        <f>HLOOKUP(J$4,'rates, dates, etc'!J128:V134,7,FALSE)</f>
        <v>0</v>
      </c>
      <c r="K8" s="17">
        <f>HLOOKUP(K$4,'rates, dates, etc'!K128:W134,7,FALSE)</f>
        <v>0</v>
      </c>
      <c r="L8" s="83">
        <f>SUM(B8:K8)</f>
        <v>0</v>
      </c>
    </row>
    <row r="9" spans="1:13" x14ac:dyDescent="0.2">
      <c r="A9" s="3" t="str">
        <f>+'rates, dates, etc'!A137</f>
        <v>Co-PI</v>
      </c>
      <c r="B9" s="17">
        <f>HLOOKUP(B$4,'rates, dates, etc'!B136:I142,7,FALSE)</f>
        <v>0</v>
      </c>
      <c r="C9" s="17">
        <f>HLOOKUP(C$4,'rates, dates, etc'!C136:O142,7,FALSE)</f>
        <v>0</v>
      </c>
      <c r="D9" s="17">
        <f>HLOOKUP(D$4,'rates, dates, etc'!D136:P142,7,FALSE)</f>
        <v>0</v>
      </c>
      <c r="E9" s="17">
        <f>HLOOKUP(E$4,'rates, dates, etc'!E136:Q142,7,FALSE)</f>
        <v>0</v>
      </c>
      <c r="F9" s="17">
        <f>HLOOKUP(F$4,'rates, dates, etc'!F136:R142,7,FALSE)</f>
        <v>0</v>
      </c>
      <c r="G9" s="17">
        <f>HLOOKUP(G$4,'rates, dates, etc'!G136:S142,7,FALSE)</f>
        <v>0</v>
      </c>
      <c r="H9" s="17">
        <f>HLOOKUP(H$4,'rates, dates, etc'!H136:T142,7,FALSE)</f>
        <v>0</v>
      </c>
      <c r="I9" s="17">
        <f>HLOOKUP(I$4,'rates, dates, etc'!I136:U142,7,FALSE)</f>
        <v>0</v>
      </c>
      <c r="J9" s="17">
        <f>HLOOKUP(J$4,'rates, dates, etc'!J136:V142,7,FALSE)</f>
        <v>0</v>
      </c>
      <c r="K9" s="17">
        <f>HLOOKUP(K$4,'rates, dates, etc'!K136:W142,7,FALSE)</f>
        <v>0</v>
      </c>
      <c r="L9" s="83">
        <f t="shared" ref="L9:L10" si="7">SUM(B9:K9)</f>
        <v>0</v>
      </c>
    </row>
    <row r="10" spans="1:13" x14ac:dyDescent="0.2">
      <c r="A10" s="3" t="str">
        <f>+'rates, dates, etc'!A145</f>
        <v>Co-PI</v>
      </c>
      <c r="B10" s="17">
        <f>HLOOKUP(B$4,'rates, dates, etc'!B144:I150,7,FALSE)</f>
        <v>0</v>
      </c>
      <c r="C10" s="17">
        <f>HLOOKUP(C$4,'rates, dates, etc'!C144:O150,7,FALSE)</f>
        <v>0</v>
      </c>
      <c r="D10" s="17">
        <f>HLOOKUP(D$4,'rates, dates, etc'!D144:P150,7,FALSE)</f>
        <v>0</v>
      </c>
      <c r="E10" s="17">
        <f>HLOOKUP(E$4,'rates, dates, etc'!E144:Q150,7,FALSE)</f>
        <v>0</v>
      </c>
      <c r="F10" s="17">
        <f>HLOOKUP(F$4,'rates, dates, etc'!F144:R150,7,FALSE)</f>
        <v>0</v>
      </c>
      <c r="G10" s="17">
        <f>HLOOKUP(G$4,'rates, dates, etc'!G144:S150,7,FALSE)</f>
        <v>0</v>
      </c>
      <c r="H10" s="17">
        <f>HLOOKUP(H$4,'rates, dates, etc'!H144:T150,7,FALSE)</f>
        <v>0</v>
      </c>
      <c r="I10" s="17">
        <f>HLOOKUP(I$4,'rates, dates, etc'!I144:U150,7,FALSE)</f>
        <v>0</v>
      </c>
      <c r="J10" s="17">
        <f>HLOOKUP(J$4,'rates, dates, etc'!J144:V150,7,FALSE)</f>
        <v>0</v>
      </c>
      <c r="K10" s="17">
        <f>HLOOKUP(K$4,'rates, dates, etc'!K144:W150,7,FALSE)</f>
        <v>0</v>
      </c>
      <c r="L10" s="83">
        <f t="shared" si="7"/>
        <v>0</v>
      </c>
    </row>
    <row r="11" spans="1:13" ht="12" thickBot="1" x14ac:dyDescent="0.25">
      <c r="A11" s="76" t="str">
        <f>CONCATENATE("Total ",A7)</f>
        <v>Total Senior Personnel Salary</v>
      </c>
      <c r="B11" s="6">
        <f>SUM(B7:B10)</f>
        <v>0</v>
      </c>
      <c r="C11" s="6">
        <f t="shared" ref="C11:F11" si="8">SUM(C7:C10)</f>
        <v>0</v>
      </c>
      <c r="D11" s="6">
        <f t="shared" si="8"/>
        <v>0</v>
      </c>
      <c r="E11" s="6">
        <f t="shared" si="8"/>
        <v>0</v>
      </c>
      <c r="F11" s="6">
        <f t="shared" si="8"/>
        <v>0</v>
      </c>
      <c r="G11" s="6">
        <f t="shared" ref="G11:K11" si="9">SUM(G7:G10)</f>
        <v>0</v>
      </c>
      <c r="H11" s="6">
        <f t="shared" si="9"/>
        <v>0</v>
      </c>
      <c r="I11" s="6">
        <f t="shared" si="9"/>
        <v>0</v>
      </c>
      <c r="J11" s="6">
        <f t="shared" si="9"/>
        <v>0</v>
      </c>
      <c r="K11" s="6">
        <f t="shared" si="9"/>
        <v>0</v>
      </c>
      <c r="L11" s="86">
        <f>SUM(L7:L10)</f>
        <v>0</v>
      </c>
    </row>
    <row r="12" spans="1:13" x14ac:dyDescent="0.2">
      <c r="A12" s="75" t="s">
        <v>112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83"/>
    </row>
    <row r="13" spans="1:13" x14ac:dyDescent="0.2">
      <c r="A13" s="3" t="str">
        <f>+'rates, dates, etc'!A153</f>
        <v>Post Doctoral Scholar(s)</v>
      </c>
      <c r="B13" s="5">
        <f>HLOOKUP(B$4,'rates, dates, etc'!B152:I157,6,FALSE)</f>
        <v>0</v>
      </c>
      <c r="C13" s="5">
        <f>HLOOKUP(C$4,'rates, dates, etc'!C152:O157,6,FALSE)</f>
        <v>0</v>
      </c>
      <c r="D13" s="5">
        <f>HLOOKUP(D$4,'rates, dates, etc'!D152:P157,6,FALSE)</f>
        <v>0</v>
      </c>
      <c r="E13" s="5">
        <f>HLOOKUP(E$4,'rates, dates, etc'!E152:Q157,6,FALSE)</f>
        <v>0</v>
      </c>
      <c r="F13" s="5">
        <f>HLOOKUP(F$4,'rates, dates, etc'!F152:R157,6,FALSE)</f>
        <v>0</v>
      </c>
      <c r="G13" s="5">
        <f>HLOOKUP(G$4,'rates, dates, etc'!G152:S157,6,FALSE)</f>
        <v>0</v>
      </c>
      <c r="H13" s="5">
        <f>HLOOKUP(H$4,'rates, dates, etc'!H152:T157,6,FALSE)</f>
        <v>0</v>
      </c>
      <c r="I13" s="5">
        <f>HLOOKUP(I$4,'rates, dates, etc'!I152:U157,6,FALSE)</f>
        <v>0</v>
      </c>
      <c r="J13" s="5">
        <f>HLOOKUP(J$4,'rates, dates, etc'!J152:V157,6,FALSE)</f>
        <v>0</v>
      </c>
      <c r="K13" s="5">
        <f>HLOOKUP(K$4,'rates, dates, etc'!K152:W157,6,FALSE)</f>
        <v>0</v>
      </c>
      <c r="L13" s="83">
        <f>SUM(B13:K13)</f>
        <v>0</v>
      </c>
    </row>
    <row r="14" spans="1:13" x14ac:dyDescent="0.2">
      <c r="A14" s="3" t="str">
        <f>+'rates, dates, etc'!A160</f>
        <v>Other Professional(s) (Technicians, etc)</v>
      </c>
      <c r="B14" s="5">
        <f>HLOOKUP(B$4,'rates, dates, etc'!B159:I164,6,FALSE)</f>
        <v>0</v>
      </c>
      <c r="C14" s="5">
        <f>HLOOKUP(C$4,'rates, dates, etc'!C159:O164,6,FALSE)</f>
        <v>0</v>
      </c>
      <c r="D14" s="5">
        <f>HLOOKUP(D$4,'rates, dates, etc'!D159:P164,6,FALSE)</f>
        <v>0</v>
      </c>
      <c r="E14" s="5">
        <f>HLOOKUP(E$4,'rates, dates, etc'!E159:Q164,6,FALSE)</f>
        <v>0</v>
      </c>
      <c r="F14" s="5">
        <f>HLOOKUP(F$4,'rates, dates, etc'!F159:R164,6,FALSE)</f>
        <v>0</v>
      </c>
      <c r="G14" s="5">
        <f>HLOOKUP(G$4,'rates, dates, etc'!G159:S164,6,FALSE)</f>
        <v>0</v>
      </c>
      <c r="H14" s="5">
        <f>HLOOKUP(H$4,'rates, dates, etc'!H159:T164,6,FALSE)</f>
        <v>0</v>
      </c>
      <c r="I14" s="5">
        <f>HLOOKUP(I$4,'rates, dates, etc'!I159:U164,6,FALSE)</f>
        <v>0</v>
      </c>
      <c r="J14" s="5">
        <f>HLOOKUP(J$4,'rates, dates, etc'!J159:V164,6,FALSE)</f>
        <v>0</v>
      </c>
      <c r="K14" s="5">
        <f>HLOOKUP(K$4,'rates, dates, etc'!K159:W164,6,FALSE)</f>
        <v>0</v>
      </c>
      <c r="L14" s="83">
        <f t="shared" ref="L14:L17" si="10">SUM(B14:K14)</f>
        <v>0</v>
      </c>
    </row>
    <row r="15" spans="1:13" x14ac:dyDescent="0.2">
      <c r="A15" s="3" t="str">
        <f>+'rates, dates, etc'!A166</f>
        <v>Graduate Student(s)</v>
      </c>
      <c r="B15" s="5">
        <f>O66+O67</f>
        <v>0</v>
      </c>
      <c r="C15" s="5">
        <f t="shared" ref="C15:K15" si="11">P66+P67</f>
        <v>0</v>
      </c>
      <c r="D15" s="5">
        <f t="shared" si="11"/>
        <v>0</v>
      </c>
      <c r="E15" s="5">
        <f t="shared" si="11"/>
        <v>0</v>
      </c>
      <c r="F15" s="5">
        <f t="shared" si="11"/>
        <v>0</v>
      </c>
      <c r="G15" s="5">
        <f t="shared" si="11"/>
        <v>0</v>
      </c>
      <c r="H15" s="5">
        <f t="shared" si="11"/>
        <v>0</v>
      </c>
      <c r="I15" s="5">
        <f t="shared" si="11"/>
        <v>0</v>
      </c>
      <c r="J15" s="5">
        <f t="shared" si="11"/>
        <v>0</v>
      </c>
      <c r="K15" s="5">
        <f t="shared" si="11"/>
        <v>0</v>
      </c>
      <c r="L15" s="83">
        <f t="shared" si="10"/>
        <v>0</v>
      </c>
    </row>
    <row r="16" spans="1:13" x14ac:dyDescent="0.2">
      <c r="A16" s="3" t="str">
        <f>+'rates, dates, etc'!A171</f>
        <v>Undergraduate Student(s)</v>
      </c>
      <c r="B16" s="5">
        <f>+'rates, dates, etc'!B179</f>
        <v>0</v>
      </c>
      <c r="C16" s="5">
        <f>+'rates, dates, etc'!C179</f>
        <v>0</v>
      </c>
      <c r="D16" s="5">
        <f>+'rates, dates, etc'!D179</f>
        <v>0</v>
      </c>
      <c r="E16" s="5">
        <f>+'rates, dates, etc'!E179</f>
        <v>0</v>
      </c>
      <c r="F16" s="5">
        <f>+'rates, dates, etc'!F179</f>
        <v>0</v>
      </c>
      <c r="G16" s="5">
        <f>+'rates, dates, etc'!G179</f>
        <v>0</v>
      </c>
      <c r="H16" s="5">
        <f>+'rates, dates, etc'!H179</f>
        <v>0</v>
      </c>
      <c r="I16" s="5">
        <f>+'rates, dates, etc'!I179</f>
        <v>0</v>
      </c>
      <c r="J16" s="5">
        <f>+'rates, dates, etc'!J179</f>
        <v>0</v>
      </c>
      <c r="K16" s="5">
        <f>+'rates, dates, etc'!K179</f>
        <v>0</v>
      </c>
      <c r="L16" s="83">
        <f t="shared" si="10"/>
        <v>0</v>
      </c>
    </row>
    <row r="17" spans="1:12" x14ac:dyDescent="0.2">
      <c r="A17" s="3" t="str">
        <f>+'rates, dates, etc'!A182</f>
        <v>Other</v>
      </c>
      <c r="B17" s="5">
        <f>HLOOKUP(B$4,'rates, dates, etc'!B181:I186,6,FALSE)</f>
        <v>0</v>
      </c>
      <c r="C17" s="5">
        <f>HLOOKUP(C$4,'rates, dates, etc'!C181:O186,6,FALSE)</f>
        <v>0</v>
      </c>
      <c r="D17" s="5">
        <f>HLOOKUP(D$4,'rates, dates, etc'!D181:P186,6,FALSE)</f>
        <v>0</v>
      </c>
      <c r="E17" s="5">
        <f>HLOOKUP(E$4,'rates, dates, etc'!E181:Q186,6,FALSE)</f>
        <v>0</v>
      </c>
      <c r="F17" s="5">
        <f>HLOOKUP(F$4,'rates, dates, etc'!F181:R186,6,FALSE)</f>
        <v>0</v>
      </c>
      <c r="G17" s="5">
        <f>HLOOKUP(G$4,'rates, dates, etc'!G181:S186,6,FALSE)</f>
        <v>0</v>
      </c>
      <c r="H17" s="5">
        <f>HLOOKUP(H$4,'rates, dates, etc'!H181:T186,6,FALSE)</f>
        <v>0</v>
      </c>
      <c r="I17" s="5">
        <f>HLOOKUP(I$4,'rates, dates, etc'!I181:U186,6,FALSE)</f>
        <v>0</v>
      </c>
      <c r="J17" s="5">
        <f>HLOOKUP(J$4,'rates, dates, etc'!J181:V186,6,FALSE)</f>
        <v>0</v>
      </c>
      <c r="K17" s="5">
        <f>HLOOKUP(K$4,'rates, dates, etc'!K181:W186,6,FALSE)</f>
        <v>0</v>
      </c>
      <c r="L17" s="83">
        <f t="shared" si="10"/>
        <v>0</v>
      </c>
    </row>
    <row r="18" spans="1:12" ht="12" thickBot="1" x14ac:dyDescent="0.25">
      <c r="A18" s="76" t="str">
        <f>CONCATENATE("Total ",A12)</f>
        <v>Total Other Personnel Salary</v>
      </c>
      <c r="B18" s="6">
        <f t="shared" ref="B18:L18" si="12">SUM(B12:B17)</f>
        <v>0</v>
      </c>
      <c r="C18" s="6">
        <f t="shared" si="12"/>
        <v>0</v>
      </c>
      <c r="D18" s="6">
        <f t="shared" si="12"/>
        <v>0</v>
      </c>
      <c r="E18" s="6">
        <f t="shared" si="12"/>
        <v>0</v>
      </c>
      <c r="F18" s="6">
        <f t="shared" si="12"/>
        <v>0</v>
      </c>
      <c r="G18" s="6">
        <f t="shared" ref="G18:K18" si="13">SUM(G12:G17)</f>
        <v>0</v>
      </c>
      <c r="H18" s="6">
        <f t="shared" si="13"/>
        <v>0</v>
      </c>
      <c r="I18" s="6">
        <f t="shared" si="13"/>
        <v>0</v>
      </c>
      <c r="J18" s="6">
        <f t="shared" si="13"/>
        <v>0</v>
      </c>
      <c r="K18" s="6">
        <f t="shared" si="13"/>
        <v>0</v>
      </c>
      <c r="L18" s="86">
        <f t="shared" si="12"/>
        <v>0</v>
      </c>
    </row>
    <row r="19" spans="1:12" x14ac:dyDescent="0.2">
      <c r="A19" s="77" t="s">
        <v>7</v>
      </c>
      <c r="B19" s="17" t="s">
        <v>6</v>
      </c>
      <c r="C19" s="17"/>
      <c r="D19" s="17"/>
      <c r="E19" s="17"/>
      <c r="F19" s="17"/>
      <c r="G19" s="17"/>
      <c r="H19" s="17"/>
      <c r="I19" s="17"/>
      <c r="J19" s="17"/>
      <c r="K19" s="17"/>
      <c r="L19" s="83"/>
    </row>
    <row r="20" spans="1:12" x14ac:dyDescent="0.2">
      <c r="A20" s="3" t="str">
        <f>+A8</f>
        <v>Co-PI</v>
      </c>
      <c r="B20" s="17">
        <f>IF('rates, dates, etc'!$O130=9,ROUND((+B8*O$76),0),ROUND((+B8*O$79*$P$87)+(B8*P$79*$P$88),0))</f>
        <v>0</v>
      </c>
      <c r="C20" s="17">
        <f>IF('rates, dates, etc'!$O130=9,ROUND((+C8*P$76),0),ROUND((+C8*P$79*$P$87)+(C8*Q$79*$P$88),0))</f>
        <v>0</v>
      </c>
      <c r="D20" s="17">
        <f>IF('rates, dates, etc'!$O130=9,ROUND((+D8*Q$76),0),ROUND((+D8*Q$79*$P$87)+(D8*R$79*$P$88),0))</f>
        <v>0</v>
      </c>
      <c r="E20" s="17">
        <f>IF('rates, dates, etc'!$O130=9,ROUND((+E8*R$76),0),ROUND((+E8*R$79*$P$87)+(E8*S$79*$P$88),0))</f>
        <v>0</v>
      </c>
      <c r="F20" s="17">
        <f>IF('rates, dates, etc'!$O130=9,ROUND((+F8*S$76),0),ROUND((+F8*S$79*$P$87)+(F8*T$79*$P$88),0))</f>
        <v>0</v>
      </c>
      <c r="G20" s="17">
        <f>IF('rates, dates, etc'!$O130=9,ROUND((+G8*T$76),0),ROUND((+G8*T$79*$P$87)+(G8*U$79*$P$88),0))</f>
        <v>0</v>
      </c>
      <c r="H20" s="17">
        <f>IF('rates, dates, etc'!$O130=9,ROUND((+H8*U$76),0),ROUND((+H8*U$79*$P$87)+(H8*V$79*$P$88),0))</f>
        <v>0</v>
      </c>
      <c r="I20" s="17">
        <f>IF('rates, dates, etc'!$O130=9,ROUND((+I8*V$76),0),ROUND((+I8*V$79*$P$87)+(I8*W$79*$P$88),0))</f>
        <v>0</v>
      </c>
      <c r="J20" s="17">
        <f>IF('rates, dates, etc'!$O130=9,ROUND((+J8*W$76),0),ROUND((+J8*W$79*$P$87)+(J8*X$79*$P$88),0))</f>
        <v>0</v>
      </c>
      <c r="K20" s="17">
        <f>IF('rates, dates, etc'!$O130=9,ROUND((+K8*X$76),0),ROUND((+K8*X$79*$P$87)+(K8*Y$79*$P$88),0))</f>
        <v>0</v>
      </c>
      <c r="L20" s="83">
        <f>SUM(B20:K20)</f>
        <v>0</v>
      </c>
    </row>
    <row r="21" spans="1:12" x14ac:dyDescent="0.2">
      <c r="A21" s="3" t="str">
        <f>+A9</f>
        <v>Co-PI</v>
      </c>
      <c r="B21" s="17">
        <f>IF('rates, dates, etc'!$O138=9,ROUND((+B9*O$76),0),ROUND((+B9*O$79*$P$87)+(B9*P$79*$P$88),0))</f>
        <v>0</v>
      </c>
      <c r="C21" s="17">
        <f>IF('rates, dates, etc'!$O138=9,ROUND((+C9*P$76),0),ROUND((+C9*P$79*$P$87)+(C9*Q$79*$P$88),0))</f>
        <v>0</v>
      </c>
      <c r="D21" s="17">
        <f>IF('rates, dates, etc'!$O138=9,ROUND((+D9*Q$76),0),ROUND((+D9*Q$79*$P$87)+(D9*R$79*$P$88),0))</f>
        <v>0</v>
      </c>
      <c r="E21" s="17">
        <f>IF('rates, dates, etc'!$O138=9,ROUND((+E9*R$76),0),ROUND((+E9*R$79*$P$87)+(E9*S$79*$P$88),0))</f>
        <v>0</v>
      </c>
      <c r="F21" s="17">
        <f>IF('rates, dates, etc'!$O138=9,ROUND((+F9*S$76),0),ROUND((+F9*S$79*$P$87)+(F9*T$79*$P$88),0))</f>
        <v>0</v>
      </c>
      <c r="G21" s="17">
        <f>IF('rates, dates, etc'!$O138=9,ROUND((+G9*T$76),0),ROUND((+G9*T$79*$P$87)+(G9*U$79*$P$88),0))</f>
        <v>0</v>
      </c>
      <c r="H21" s="17">
        <f>IF('rates, dates, etc'!$O138=9,ROUND((+H9*U$76),0),ROUND((+H9*U$79*$P$87)+(H9*V$79*$P$88),0))</f>
        <v>0</v>
      </c>
      <c r="I21" s="17">
        <f>IF('rates, dates, etc'!$O138=9,ROUND((+I9*V$76),0),ROUND((+I9*V$79*$P$87)+(I9*W$79*$P$88),0))</f>
        <v>0</v>
      </c>
      <c r="J21" s="17">
        <f>IF('rates, dates, etc'!$O138=9,ROUND((+J9*W$76),0),ROUND((+J9*W$79*$P$87)+(J9*X$79*$P$88),0))</f>
        <v>0</v>
      </c>
      <c r="K21" s="17">
        <f>IF('rates, dates, etc'!$O138=9,ROUND((+K9*X$76),0),ROUND((+K9*X$79*$P$87)+(K9*Y$79*$P$88),0))</f>
        <v>0</v>
      </c>
      <c r="L21" s="83">
        <f t="shared" ref="L21:L25" si="14">SUM(B21:K21)</f>
        <v>0</v>
      </c>
    </row>
    <row r="22" spans="1:12" x14ac:dyDescent="0.2">
      <c r="A22" s="3" t="str">
        <f>+A10</f>
        <v>Co-PI</v>
      </c>
      <c r="B22" s="17">
        <f>IF('rates, dates, etc'!$O146=9,ROUND((+B10*O$76),0),ROUND((+B10*O$79*$P$87)+(B10*P$79*$P$88),0))</f>
        <v>0</v>
      </c>
      <c r="C22" s="17">
        <f>IF('rates, dates, etc'!$O146=9,ROUND((+C10*P$76),0),ROUND((+C10*P$79*$P$87)+(C10*Q$79*$P$88),0))</f>
        <v>0</v>
      </c>
      <c r="D22" s="17">
        <f>IF('rates, dates, etc'!$O146=9,ROUND((+D10*Q$76),0),ROUND((+D10*Q$79*$P$87)+(D10*R$79*$P$88),0))</f>
        <v>0</v>
      </c>
      <c r="E22" s="17">
        <f>IF('rates, dates, etc'!$O146=9,ROUND((+E10*R$76),0),ROUND((+E10*R$79*$P$87)+(E10*S$79*$P$88),0))</f>
        <v>0</v>
      </c>
      <c r="F22" s="17">
        <f>IF('rates, dates, etc'!$O146=9,ROUND((+F10*S$76),0),ROUND((+F10*S$79*$P$87)+(F10*T$79*$P$88),0))</f>
        <v>0</v>
      </c>
      <c r="G22" s="17">
        <f>IF('rates, dates, etc'!$O146=9,ROUND((+G10*T$76),0),ROUND((+G10*T$79*$P$87)+(G10*U$79*$P$88),0))</f>
        <v>0</v>
      </c>
      <c r="H22" s="17">
        <f>IF('rates, dates, etc'!$O146=9,ROUND((+H10*U$76),0),ROUND((+H10*U$79*$P$87)+(H10*V$79*$P$88),0))</f>
        <v>0</v>
      </c>
      <c r="I22" s="17">
        <f>IF('rates, dates, etc'!$O146=9,ROUND((+I10*V$76),0),ROUND((+I10*V$79*$P$87)+(I10*W$79*$P$88),0))</f>
        <v>0</v>
      </c>
      <c r="J22" s="17">
        <f>IF('rates, dates, etc'!$O146=9,ROUND((+J10*W$76),0),ROUND((+J10*W$79*$P$87)+(J10*X$79*$P$88),0))</f>
        <v>0</v>
      </c>
      <c r="K22" s="17">
        <f>IF('rates, dates, etc'!$O146=9,ROUND((+K10*X$76),0),ROUND((+K10*X$79*$P$87)+(K10*Y$79*$P$88),0))</f>
        <v>0</v>
      </c>
      <c r="L22" s="83">
        <f t="shared" si="14"/>
        <v>0</v>
      </c>
    </row>
    <row r="23" spans="1:12" x14ac:dyDescent="0.2">
      <c r="A23" s="3" t="str">
        <f>+A13</f>
        <v>Post Doctoral Scholar(s)</v>
      </c>
      <c r="B23" s="17">
        <f t="shared" ref="B23:G24" si="15">ROUND((+B13*O80*$P$87)+(B13*P80*$P$88),0)</f>
        <v>0</v>
      </c>
      <c r="C23" s="17">
        <f t="shared" si="15"/>
        <v>0</v>
      </c>
      <c r="D23" s="17">
        <f t="shared" si="15"/>
        <v>0</v>
      </c>
      <c r="E23" s="17">
        <f t="shared" si="15"/>
        <v>0</v>
      </c>
      <c r="F23" s="17">
        <f t="shared" si="15"/>
        <v>0</v>
      </c>
      <c r="G23" s="17">
        <f t="shared" si="15"/>
        <v>0</v>
      </c>
      <c r="H23" s="17">
        <f t="shared" ref="H23:K23" si="16">ROUND((+H13*U80*$P$87)+(H13*V80*$P$88),0)</f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83">
        <f t="shared" si="14"/>
        <v>0</v>
      </c>
    </row>
    <row r="24" spans="1:12" x14ac:dyDescent="0.2">
      <c r="A24" s="3" t="str">
        <f>+A14</f>
        <v>Other Professional(s) (Technicians, etc)</v>
      </c>
      <c r="B24" s="17">
        <f t="shared" si="15"/>
        <v>0</v>
      </c>
      <c r="C24" s="17">
        <f t="shared" si="15"/>
        <v>0</v>
      </c>
      <c r="D24" s="17">
        <f t="shared" si="15"/>
        <v>0</v>
      </c>
      <c r="E24" s="17">
        <f t="shared" si="15"/>
        <v>0</v>
      </c>
      <c r="F24" s="17">
        <f t="shared" si="15"/>
        <v>0</v>
      </c>
      <c r="G24" s="17">
        <f t="shared" si="15"/>
        <v>0</v>
      </c>
      <c r="H24" s="17">
        <f t="shared" ref="H24:K24" si="17">ROUND((+H14*U81*$P$87)+(H14*V81*$P$88),0)</f>
        <v>0</v>
      </c>
      <c r="I24" s="17">
        <f t="shared" si="17"/>
        <v>0</v>
      </c>
      <c r="J24" s="17">
        <f t="shared" si="17"/>
        <v>0</v>
      </c>
      <c r="K24" s="17">
        <f t="shared" si="17"/>
        <v>0</v>
      </c>
      <c r="L24" s="83">
        <f t="shared" si="14"/>
        <v>0</v>
      </c>
    </row>
    <row r="25" spans="1:12" x14ac:dyDescent="0.2">
      <c r="A25" s="3" t="str">
        <f>+A17</f>
        <v>Other</v>
      </c>
      <c r="B25" s="17">
        <f>IF('rates, dates, etc'!$O183=9,ROUND((+B17*O$76),0),ROUND((+B17*O$81*$P$87)+(B17*P$81*$P$88),0))</f>
        <v>0</v>
      </c>
      <c r="C25" s="17">
        <f>IF('rates, dates, etc'!$O183=9,ROUND((+C17*P$76),0),ROUND((+C17*P$81*$P$87)+(C17*Q$81*$P$88),0))</f>
        <v>0</v>
      </c>
      <c r="D25" s="17">
        <f>IF('rates, dates, etc'!$O183=9,ROUND((+D17*Q$76),0),ROUND((+D17*Q$81*$P$87)+(D17*R$81*$P$88),0))</f>
        <v>0</v>
      </c>
      <c r="E25" s="17">
        <f>IF('rates, dates, etc'!$O183=9,ROUND((+E17*R$76),0),ROUND((+E17*R$81*$P$87)+(E17*S$81*$P$88),0))</f>
        <v>0</v>
      </c>
      <c r="F25" s="17">
        <f>IF('rates, dates, etc'!$O183=9,ROUND((+F17*S$76),0),ROUND((+F17*S$81*$P$87)+(F17*T$81*$P$88),0))</f>
        <v>0</v>
      </c>
      <c r="G25" s="17">
        <f>IF('rates, dates, etc'!$O183=9,ROUND((+G17*T$76),0),ROUND((+G17*T$81*$P$87)+(G17*U$81*$P$88),0))</f>
        <v>0</v>
      </c>
      <c r="H25" s="17">
        <f>IF('rates, dates, etc'!$O183=9,ROUND((+H17*U$76),0),ROUND((+H17*U$81*$P$87)+(H17*V$81*$P$88),0))</f>
        <v>0</v>
      </c>
      <c r="I25" s="17">
        <f>IF('rates, dates, etc'!$O183=9,ROUND((+I17*V$76),0),ROUND((+I17*V$81*$P$87)+(I17*W$81*$P$88),0))</f>
        <v>0</v>
      </c>
      <c r="J25" s="17">
        <f>IF('rates, dates, etc'!$O183=9,ROUND((+J17*W$76),0),ROUND((+J17*W$81*$P$87)+(J17*X$81*$P$88),0))</f>
        <v>0</v>
      </c>
      <c r="K25" s="17">
        <f>IF('rates, dates, etc'!$O183=9,ROUND((+K17*X$76),0),ROUND((+K17*X$81*$P$87)+(K17*Y$81*$P$88),0))</f>
        <v>0</v>
      </c>
      <c r="L25" s="83">
        <f t="shared" si="14"/>
        <v>0</v>
      </c>
    </row>
    <row r="26" spans="1:12" ht="12" thickBot="1" x14ac:dyDescent="0.25">
      <c r="A26" s="76" t="str">
        <f>CONCATENATE("Total ",A19)</f>
        <v>Total Fringe Benefits</v>
      </c>
      <c r="B26" s="6">
        <f>SUM(B19:B25)</f>
        <v>0</v>
      </c>
      <c r="C26" s="6">
        <f>SUM(C19:C25)</f>
        <v>0</v>
      </c>
      <c r="D26" s="6">
        <f>SUM(D19:D25)</f>
        <v>0</v>
      </c>
      <c r="E26" s="6">
        <f t="shared" ref="E26:F26" si="18">SUM(E19:E25)</f>
        <v>0</v>
      </c>
      <c r="F26" s="6">
        <f t="shared" si="18"/>
        <v>0</v>
      </c>
      <c r="G26" s="6">
        <f t="shared" ref="G26:K26" si="19">SUM(G19:G25)</f>
        <v>0</v>
      </c>
      <c r="H26" s="6">
        <f t="shared" si="19"/>
        <v>0</v>
      </c>
      <c r="I26" s="6">
        <f t="shared" si="19"/>
        <v>0</v>
      </c>
      <c r="J26" s="6">
        <f t="shared" si="19"/>
        <v>0</v>
      </c>
      <c r="K26" s="6">
        <f t="shared" si="19"/>
        <v>0</v>
      </c>
      <c r="L26" s="86">
        <f>SUM(L19:L25)</f>
        <v>0</v>
      </c>
    </row>
    <row r="27" spans="1:12" ht="12" thickBot="1" x14ac:dyDescent="0.25">
      <c r="A27" s="130" t="s">
        <v>108</v>
      </c>
      <c r="B27" s="131">
        <f t="shared" ref="B27:G27" si="20">+B11+B18+B26</f>
        <v>0</v>
      </c>
      <c r="C27" s="131">
        <f t="shared" si="20"/>
        <v>0</v>
      </c>
      <c r="D27" s="131">
        <f t="shared" si="20"/>
        <v>0</v>
      </c>
      <c r="E27" s="131">
        <f t="shared" si="20"/>
        <v>0</v>
      </c>
      <c r="F27" s="131">
        <f t="shared" si="20"/>
        <v>0</v>
      </c>
      <c r="G27" s="131">
        <f t="shared" si="20"/>
        <v>0</v>
      </c>
      <c r="H27" s="131">
        <f t="shared" ref="H27" si="21">+H11+H18+H26</f>
        <v>0</v>
      </c>
      <c r="I27" s="131">
        <f t="shared" ref="I27" si="22">+I11+I18+I26</f>
        <v>0</v>
      </c>
      <c r="J27" s="131">
        <f t="shared" ref="J27" si="23">+J11+J18+J26</f>
        <v>0</v>
      </c>
      <c r="K27" s="131">
        <f t="shared" ref="K27" si="24">+K11+K18+K26</f>
        <v>0</v>
      </c>
      <c r="L27" s="132">
        <f>SUM(B27:K27)</f>
        <v>0</v>
      </c>
    </row>
    <row r="28" spans="1:12" x14ac:dyDescent="0.2">
      <c r="A28" s="77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83"/>
    </row>
    <row r="29" spans="1:12" x14ac:dyDescent="0.2">
      <c r="A29" s="3" t="s">
        <v>62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2"/>
      <c r="L29" s="83">
        <f>SUM(B29:K29)</f>
        <v>0</v>
      </c>
    </row>
    <row r="30" spans="1:12" ht="12" thickBot="1" x14ac:dyDescent="0.25">
      <c r="A30" s="76" t="str">
        <f>CONCATENATE("Total ",A28)</f>
        <v>Total Equipment</v>
      </c>
      <c r="B30" s="6">
        <f t="shared" ref="B30:L30" si="25">SUM(B28:B29)</f>
        <v>0</v>
      </c>
      <c r="C30" s="6">
        <f t="shared" si="25"/>
        <v>0</v>
      </c>
      <c r="D30" s="6">
        <f t="shared" si="25"/>
        <v>0</v>
      </c>
      <c r="E30" s="6">
        <f t="shared" si="25"/>
        <v>0</v>
      </c>
      <c r="F30" s="6">
        <f t="shared" si="25"/>
        <v>0</v>
      </c>
      <c r="G30" s="6">
        <f t="shared" ref="G30:K30" si="26">SUM(G28:G29)</f>
        <v>0</v>
      </c>
      <c r="H30" s="6">
        <f t="shared" si="26"/>
        <v>0</v>
      </c>
      <c r="I30" s="6">
        <f t="shared" si="26"/>
        <v>0</v>
      </c>
      <c r="J30" s="6">
        <f t="shared" si="26"/>
        <v>0</v>
      </c>
      <c r="K30" s="6">
        <f t="shared" si="26"/>
        <v>0</v>
      </c>
      <c r="L30" s="86">
        <f t="shared" si="25"/>
        <v>0</v>
      </c>
    </row>
    <row r="31" spans="1:12" x14ac:dyDescent="0.2">
      <c r="A31" s="77" t="s">
        <v>34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83"/>
    </row>
    <row r="32" spans="1:12" x14ac:dyDescent="0.2">
      <c r="A32" s="3" t="s">
        <v>10</v>
      </c>
      <c r="B32" s="342">
        <v>0</v>
      </c>
      <c r="C32" s="342">
        <v>0</v>
      </c>
      <c r="D32" s="342">
        <v>0</v>
      </c>
      <c r="E32" s="342">
        <v>0</v>
      </c>
      <c r="F32" s="342">
        <v>0</v>
      </c>
      <c r="G32" s="342">
        <v>0</v>
      </c>
      <c r="H32" s="342">
        <v>0</v>
      </c>
      <c r="I32" s="342">
        <v>0</v>
      </c>
      <c r="J32" s="342">
        <v>0</v>
      </c>
      <c r="K32" s="342">
        <v>0</v>
      </c>
      <c r="L32" s="83">
        <f>SUM(B32:K32)</f>
        <v>0</v>
      </c>
    </row>
    <row r="33" spans="1:16" x14ac:dyDescent="0.2">
      <c r="A33" s="3" t="s">
        <v>11</v>
      </c>
      <c r="B33" s="342">
        <v>0</v>
      </c>
      <c r="C33" s="342">
        <v>0</v>
      </c>
      <c r="D33" s="342">
        <v>0</v>
      </c>
      <c r="E33" s="342">
        <v>0</v>
      </c>
      <c r="F33" s="342">
        <v>0</v>
      </c>
      <c r="G33" s="342">
        <v>0</v>
      </c>
      <c r="H33" s="342">
        <v>0</v>
      </c>
      <c r="I33" s="342">
        <v>0</v>
      </c>
      <c r="J33" s="342">
        <v>0</v>
      </c>
      <c r="K33" s="342">
        <v>0</v>
      </c>
      <c r="L33" s="83">
        <f>SUM(B33:K33)</f>
        <v>0</v>
      </c>
    </row>
    <row r="34" spans="1:16" ht="12" thickBot="1" x14ac:dyDescent="0.25">
      <c r="A34" s="76" t="str">
        <f>CONCATENATE("Total ",A31)</f>
        <v>Total Travel</v>
      </c>
      <c r="B34" s="6">
        <f>SUM(B31:B33)</f>
        <v>0</v>
      </c>
      <c r="C34" s="6">
        <f>SUM(C31:C33)</f>
        <v>0</v>
      </c>
      <c r="D34" s="6">
        <f t="shared" ref="D34:F34" si="27">SUM(D31:D33)</f>
        <v>0</v>
      </c>
      <c r="E34" s="6">
        <f t="shared" si="27"/>
        <v>0</v>
      </c>
      <c r="F34" s="6">
        <f t="shared" si="27"/>
        <v>0</v>
      </c>
      <c r="G34" s="6">
        <f t="shared" ref="G34:K34" si="28">SUM(G31:G33)</f>
        <v>0</v>
      </c>
      <c r="H34" s="6">
        <f t="shared" si="28"/>
        <v>0</v>
      </c>
      <c r="I34" s="6">
        <f t="shared" si="28"/>
        <v>0</v>
      </c>
      <c r="J34" s="6">
        <f t="shared" si="28"/>
        <v>0</v>
      </c>
      <c r="K34" s="6">
        <f t="shared" si="28"/>
        <v>0</v>
      </c>
      <c r="L34" s="86">
        <f>SUM(L31:L33)</f>
        <v>0</v>
      </c>
    </row>
    <row r="35" spans="1:16" x14ac:dyDescent="0.2">
      <c r="A35" s="77" t="s">
        <v>27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83"/>
    </row>
    <row r="36" spans="1:16" x14ac:dyDescent="0.2">
      <c r="A36" s="3" t="s">
        <v>75</v>
      </c>
      <c r="B36" s="342">
        <v>0</v>
      </c>
      <c r="C36" s="342">
        <v>0</v>
      </c>
      <c r="D36" s="342">
        <v>0</v>
      </c>
      <c r="E36" s="342">
        <v>0</v>
      </c>
      <c r="F36" s="342">
        <v>0</v>
      </c>
      <c r="G36" s="342">
        <v>0</v>
      </c>
      <c r="H36" s="342">
        <v>0</v>
      </c>
      <c r="I36" s="342">
        <v>0</v>
      </c>
      <c r="J36" s="342">
        <v>0</v>
      </c>
      <c r="K36" s="342">
        <v>0</v>
      </c>
      <c r="L36" s="83">
        <f>SUM(B36:K36)</f>
        <v>0</v>
      </c>
      <c r="N36" s="1"/>
      <c r="O36" s="1"/>
      <c r="P36" s="1"/>
    </row>
    <row r="37" spans="1:16" x14ac:dyDescent="0.2">
      <c r="A37" s="3" t="s">
        <v>42</v>
      </c>
      <c r="B37" s="342">
        <v>0</v>
      </c>
      <c r="C37" s="342">
        <v>0</v>
      </c>
      <c r="D37" s="342">
        <v>0</v>
      </c>
      <c r="E37" s="342">
        <v>0</v>
      </c>
      <c r="F37" s="342">
        <v>0</v>
      </c>
      <c r="G37" s="342">
        <v>0</v>
      </c>
      <c r="H37" s="342">
        <v>0</v>
      </c>
      <c r="I37" s="342">
        <v>0</v>
      </c>
      <c r="J37" s="342">
        <v>0</v>
      </c>
      <c r="K37" s="342">
        <v>0</v>
      </c>
      <c r="L37" s="83">
        <f t="shared" ref="L37:L40" si="29">SUM(B37:K37)</f>
        <v>0</v>
      </c>
      <c r="N37" s="1"/>
      <c r="O37" s="1"/>
      <c r="P37" s="1"/>
    </row>
    <row r="38" spans="1:16" x14ac:dyDescent="0.2">
      <c r="A38" s="3" t="s">
        <v>34</v>
      </c>
      <c r="B38" s="342">
        <v>0</v>
      </c>
      <c r="C38" s="342">
        <v>0</v>
      </c>
      <c r="D38" s="342">
        <v>0</v>
      </c>
      <c r="E38" s="342">
        <v>0</v>
      </c>
      <c r="F38" s="342">
        <v>0</v>
      </c>
      <c r="G38" s="342">
        <v>0</v>
      </c>
      <c r="H38" s="342">
        <v>0</v>
      </c>
      <c r="I38" s="342">
        <v>0</v>
      </c>
      <c r="J38" s="342">
        <v>0</v>
      </c>
      <c r="K38" s="342">
        <v>0</v>
      </c>
      <c r="L38" s="83">
        <f t="shared" si="29"/>
        <v>0</v>
      </c>
      <c r="P38" s="1"/>
    </row>
    <row r="39" spans="1:16" x14ac:dyDescent="0.2">
      <c r="A39" s="3" t="s">
        <v>43</v>
      </c>
      <c r="B39" s="342">
        <v>0</v>
      </c>
      <c r="C39" s="342">
        <v>0</v>
      </c>
      <c r="D39" s="342">
        <v>0</v>
      </c>
      <c r="E39" s="342">
        <v>0</v>
      </c>
      <c r="F39" s="342">
        <v>0</v>
      </c>
      <c r="G39" s="342">
        <v>0</v>
      </c>
      <c r="H39" s="342">
        <v>0</v>
      </c>
      <c r="I39" s="342">
        <v>0</v>
      </c>
      <c r="J39" s="342">
        <v>0</v>
      </c>
      <c r="K39" s="342">
        <v>0</v>
      </c>
      <c r="L39" s="83">
        <f t="shared" si="29"/>
        <v>0</v>
      </c>
    </row>
    <row r="40" spans="1:16" x14ac:dyDescent="0.2">
      <c r="A40" s="3" t="s">
        <v>29</v>
      </c>
      <c r="B40" s="342">
        <v>0</v>
      </c>
      <c r="C40" s="342">
        <v>0</v>
      </c>
      <c r="D40" s="342">
        <v>0</v>
      </c>
      <c r="E40" s="342">
        <v>0</v>
      </c>
      <c r="F40" s="342">
        <v>0</v>
      </c>
      <c r="G40" s="342">
        <v>0</v>
      </c>
      <c r="H40" s="342">
        <v>0</v>
      </c>
      <c r="I40" s="342">
        <v>0</v>
      </c>
      <c r="J40" s="342">
        <v>0</v>
      </c>
      <c r="K40" s="342">
        <v>0</v>
      </c>
      <c r="L40" s="83">
        <f t="shared" si="29"/>
        <v>0</v>
      </c>
    </row>
    <row r="41" spans="1:16" ht="12" thickBot="1" x14ac:dyDescent="0.25">
      <c r="A41" s="76" t="str">
        <f>CONCATENATE("Total ",A35)</f>
        <v>Total Participant Support Costs</v>
      </c>
      <c r="B41" s="6">
        <f>SUM(B35:B40)</f>
        <v>0</v>
      </c>
      <c r="C41" s="6">
        <f>SUM(C35:C40)</f>
        <v>0</v>
      </c>
      <c r="D41" s="6">
        <f t="shared" ref="D41:F41" si="30">SUM(D35:D40)</f>
        <v>0</v>
      </c>
      <c r="E41" s="6">
        <f t="shared" si="30"/>
        <v>0</v>
      </c>
      <c r="F41" s="6">
        <f t="shared" si="30"/>
        <v>0</v>
      </c>
      <c r="G41" s="6">
        <f t="shared" ref="G41:K41" si="31">SUM(G35:G40)</f>
        <v>0</v>
      </c>
      <c r="H41" s="6">
        <f t="shared" si="31"/>
        <v>0</v>
      </c>
      <c r="I41" s="6">
        <f t="shared" si="31"/>
        <v>0</v>
      </c>
      <c r="J41" s="6">
        <f t="shared" si="31"/>
        <v>0</v>
      </c>
      <c r="K41" s="6">
        <f t="shared" si="31"/>
        <v>0</v>
      </c>
      <c r="L41" s="86">
        <f>SUM(L35:L40)</f>
        <v>0</v>
      </c>
    </row>
    <row r="42" spans="1:16" x14ac:dyDescent="0.2">
      <c r="A42" s="77" t="s">
        <v>13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83"/>
    </row>
    <row r="43" spans="1:16" x14ac:dyDescent="0.2">
      <c r="A43" s="3" t="s">
        <v>14</v>
      </c>
      <c r="B43" s="388">
        <v>0</v>
      </c>
      <c r="C43" s="388">
        <v>0</v>
      </c>
      <c r="D43" s="388">
        <v>0</v>
      </c>
      <c r="E43" s="388">
        <v>0</v>
      </c>
      <c r="F43" s="388">
        <v>0</v>
      </c>
      <c r="G43" s="388">
        <v>0</v>
      </c>
      <c r="H43" s="388">
        <v>0</v>
      </c>
      <c r="I43" s="388">
        <v>0</v>
      </c>
      <c r="J43" s="388">
        <v>0</v>
      </c>
      <c r="K43" s="388">
        <v>0</v>
      </c>
      <c r="L43" s="83">
        <f>SUM(B43:K43)</f>
        <v>0</v>
      </c>
    </row>
    <row r="44" spans="1:16" x14ac:dyDescent="0.2">
      <c r="A44" s="3" t="s">
        <v>181</v>
      </c>
      <c r="B44" s="388">
        <v>0</v>
      </c>
      <c r="C44" s="388">
        <v>0</v>
      </c>
      <c r="D44" s="388">
        <v>0</v>
      </c>
      <c r="E44" s="388">
        <v>0</v>
      </c>
      <c r="F44" s="388">
        <v>0</v>
      </c>
      <c r="G44" s="388">
        <v>0</v>
      </c>
      <c r="H44" s="388">
        <v>0</v>
      </c>
      <c r="I44" s="388">
        <v>0</v>
      </c>
      <c r="J44" s="388">
        <v>0</v>
      </c>
      <c r="K44" s="388">
        <v>0</v>
      </c>
      <c r="L44" s="83">
        <f t="shared" ref="L44:L51" si="32">SUM(B44:K44)</f>
        <v>0</v>
      </c>
    </row>
    <row r="45" spans="1:16" x14ac:dyDescent="0.2">
      <c r="A45" s="3" t="s">
        <v>240</v>
      </c>
      <c r="B45" s="388">
        <v>0</v>
      </c>
      <c r="C45" s="388">
        <v>0</v>
      </c>
      <c r="D45" s="388">
        <v>0</v>
      </c>
      <c r="E45" s="388">
        <v>0</v>
      </c>
      <c r="F45" s="388">
        <v>0</v>
      </c>
      <c r="G45" s="388">
        <v>0</v>
      </c>
      <c r="H45" s="388">
        <v>0</v>
      </c>
      <c r="I45" s="388">
        <v>0</v>
      </c>
      <c r="J45" s="388">
        <v>0</v>
      </c>
      <c r="K45" s="388">
        <v>0</v>
      </c>
      <c r="L45" s="83">
        <f t="shared" si="32"/>
        <v>0</v>
      </c>
    </row>
    <row r="46" spans="1:16" x14ac:dyDescent="0.2">
      <c r="A46" s="3" t="s">
        <v>182</v>
      </c>
      <c r="B46" s="388">
        <v>0</v>
      </c>
      <c r="C46" s="388">
        <v>0</v>
      </c>
      <c r="D46" s="388">
        <v>0</v>
      </c>
      <c r="E46" s="388">
        <v>0</v>
      </c>
      <c r="F46" s="388">
        <v>0</v>
      </c>
      <c r="G46" s="388">
        <v>0</v>
      </c>
      <c r="H46" s="388">
        <v>0</v>
      </c>
      <c r="I46" s="388">
        <v>0</v>
      </c>
      <c r="J46" s="388">
        <v>0</v>
      </c>
      <c r="K46" s="388">
        <v>0</v>
      </c>
      <c r="L46" s="83">
        <f t="shared" si="32"/>
        <v>0</v>
      </c>
    </row>
    <row r="47" spans="1:16" x14ac:dyDescent="0.2">
      <c r="A47" s="3" t="s">
        <v>41</v>
      </c>
      <c r="B47" s="388">
        <v>0</v>
      </c>
      <c r="C47" s="388">
        <v>0</v>
      </c>
      <c r="D47" s="388">
        <v>0</v>
      </c>
      <c r="E47" s="388">
        <v>0</v>
      </c>
      <c r="F47" s="388">
        <v>0</v>
      </c>
      <c r="G47" s="388">
        <v>0</v>
      </c>
      <c r="H47" s="388">
        <v>0</v>
      </c>
      <c r="I47" s="388">
        <v>0</v>
      </c>
      <c r="J47" s="388">
        <v>0</v>
      </c>
      <c r="K47" s="388">
        <v>0</v>
      </c>
      <c r="L47" s="83">
        <f t="shared" si="32"/>
        <v>0</v>
      </c>
    </row>
    <row r="48" spans="1:16" x14ac:dyDescent="0.2">
      <c r="A48" s="3" t="s">
        <v>147</v>
      </c>
      <c r="B48" s="78">
        <f>O68</f>
        <v>0</v>
      </c>
      <c r="C48" s="78">
        <f t="shared" ref="C48:K48" si="33">P68</f>
        <v>0</v>
      </c>
      <c r="D48" s="78">
        <f t="shared" si="33"/>
        <v>0</v>
      </c>
      <c r="E48" s="78">
        <f t="shared" si="33"/>
        <v>0</v>
      </c>
      <c r="F48" s="78">
        <f t="shared" si="33"/>
        <v>0</v>
      </c>
      <c r="G48" s="78">
        <f t="shared" si="33"/>
        <v>0</v>
      </c>
      <c r="H48" s="78">
        <f t="shared" si="33"/>
        <v>0</v>
      </c>
      <c r="I48" s="78">
        <f t="shared" si="33"/>
        <v>0</v>
      </c>
      <c r="J48" s="78">
        <f t="shared" si="33"/>
        <v>0</v>
      </c>
      <c r="K48" s="78">
        <f t="shared" si="33"/>
        <v>0</v>
      </c>
      <c r="L48" s="83">
        <f t="shared" si="32"/>
        <v>0</v>
      </c>
    </row>
    <row r="49" spans="1:24" x14ac:dyDescent="0.2">
      <c r="A49" s="3" t="s">
        <v>146</v>
      </c>
      <c r="B49" s="78">
        <f>O69</f>
        <v>0</v>
      </c>
      <c r="C49" s="78">
        <f t="shared" ref="C49:K49" si="34">P69</f>
        <v>0</v>
      </c>
      <c r="D49" s="78">
        <f t="shared" si="34"/>
        <v>0</v>
      </c>
      <c r="E49" s="78">
        <f t="shared" si="34"/>
        <v>0</v>
      </c>
      <c r="F49" s="78">
        <f t="shared" si="34"/>
        <v>0</v>
      </c>
      <c r="G49" s="78">
        <f t="shared" si="34"/>
        <v>0</v>
      </c>
      <c r="H49" s="78">
        <f t="shared" si="34"/>
        <v>0</v>
      </c>
      <c r="I49" s="78">
        <f t="shared" si="34"/>
        <v>0</v>
      </c>
      <c r="J49" s="78">
        <f t="shared" si="34"/>
        <v>0</v>
      </c>
      <c r="K49" s="78">
        <f t="shared" si="34"/>
        <v>0</v>
      </c>
      <c r="L49" s="83">
        <f t="shared" si="32"/>
        <v>0</v>
      </c>
    </row>
    <row r="50" spans="1:24" x14ac:dyDescent="0.2">
      <c r="A50" s="3" t="s">
        <v>29</v>
      </c>
      <c r="B50" s="388">
        <v>0</v>
      </c>
      <c r="C50" s="388">
        <v>0</v>
      </c>
      <c r="D50" s="388">
        <v>0</v>
      </c>
      <c r="E50" s="388">
        <v>0</v>
      </c>
      <c r="F50" s="388">
        <v>0</v>
      </c>
      <c r="G50" s="388">
        <v>0</v>
      </c>
      <c r="H50" s="388">
        <v>0</v>
      </c>
      <c r="I50" s="388">
        <v>0</v>
      </c>
      <c r="J50" s="388">
        <v>0</v>
      </c>
      <c r="K50" s="388">
        <v>0</v>
      </c>
      <c r="L50" s="83">
        <f t="shared" si="32"/>
        <v>0</v>
      </c>
    </row>
    <row r="51" spans="1:24" x14ac:dyDescent="0.2">
      <c r="A51" s="3" t="s">
        <v>29</v>
      </c>
      <c r="B51" s="388">
        <v>0</v>
      </c>
      <c r="C51" s="388">
        <v>0</v>
      </c>
      <c r="D51" s="388">
        <v>0</v>
      </c>
      <c r="E51" s="388">
        <v>0</v>
      </c>
      <c r="F51" s="388">
        <v>0</v>
      </c>
      <c r="G51" s="388">
        <v>0</v>
      </c>
      <c r="H51" s="388">
        <v>0</v>
      </c>
      <c r="I51" s="388">
        <v>0</v>
      </c>
      <c r="J51" s="388">
        <v>0</v>
      </c>
      <c r="K51" s="388">
        <v>0</v>
      </c>
      <c r="L51" s="83">
        <f t="shared" si="32"/>
        <v>0</v>
      </c>
      <c r="P51" s="1"/>
      <c r="S51" s="5"/>
      <c r="T51" s="5"/>
    </row>
    <row r="52" spans="1:24" ht="12" thickBot="1" x14ac:dyDescent="0.25">
      <c r="A52" s="76" t="str">
        <f>CONCATENATE("Total ",A42)</f>
        <v>Total Other Direct Costs</v>
      </c>
      <c r="B52" s="86">
        <f t="shared" ref="B52:L52" si="35">SUM(B42:B51)</f>
        <v>0</v>
      </c>
      <c r="C52" s="6">
        <f t="shared" si="35"/>
        <v>0</v>
      </c>
      <c r="D52" s="6">
        <f t="shared" si="35"/>
        <v>0</v>
      </c>
      <c r="E52" s="6">
        <f t="shared" si="35"/>
        <v>0</v>
      </c>
      <c r="F52" s="6">
        <f t="shared" si="35"/>
        <v>0</v>
      </c>
      <c r="G52" s="6">
        <f t="shared" ref="G52:K52" si="36">SUM(G42:G51)</f>
        <v>0</v>
      </c>
      <c r="H52" s="6">
        <f t="shared" si="36"/>
        <v>0</v>
      </c>
      <c r="I52" s="6">
        <f t="shared" si="36"/>
        <v>0</v>
      </c>
      <c r="J52" s="6">
        <f t="shared" si="36"/>
        <v>0</v>
      </c>
      <c r="K52" s="6">
        <f t="shared" si="36"/>
        <v>0</v>
      </c>
      <c r="L52" s="86">
        <f t="shared" si="35"/>
        <v>0</v>
      </c>
      <c r="S52" s="5"/>
      <c r="T52" s="5"/>
    </row>
    <row r="53" spans="1:24" ht="12" thickBot="1" x14ac:dyDescent="0.25">
      <c r="A53" s="82" t="s">
        <v>16</v>
      </c>
      <c r="B53" s="124">
        <f t="shared" ref="B53:L53" si="37">SUM(+B11+B18+B26+B30+B34+B41+B52)</f>
        <v>0</v>
      </c>
      <c r="C53" s="124">
        <f t="shared" ref="C53:K53" si="38">SUM(+C11+C18+C26+C30+C34+C41+C52)</f>
        <v>0</v>
      </c>
      <c r="D53" s="124">
        <f t="shared" si="38"/>
        <v>0</v>
      </c>
      <c r="E53" s="124">
        <f t="shared" si="38"/>
        <v>0</v>
      </c>
      <c r="F53" s="124">
        <f t="shared" si="38"/>
        <v>0</v>
      </c>
      <c r="G53" s="124">
        <f t="shared" si="38"/>
        <v>0</v>
      </c>
      <c r="H53" s="124">
        <f t="shared" si="38"/>
        <v>0</v>
      </c>
      <c r="I53" s="124">
        <f t="shared" si="38"/>
        <v>0</v>
      </c>
      <c r="J53" s="124">
        <f t="shared" si="38"/>
        <v>0</v>
      </c>
      <c r="K53" s="124">
        <f t="shared" si="38"/>
        <v>0</v>
      </c>
      <c r="L53" s="125">
        <f t="shared" si="37"/>
        <v>0</v>
      </c>
      <c r="S53" s="5"/>
      <c r="T53" s="5"/>
    </row>
    <row r="54" spans="1:24" ht="12" thickBot="1" x14ac:dyDescent="0.25">
      <c r="A54" s="71" t="s">
        <v>17</v>
      </c>
      <c r="B54" s="94">
        <f>+B53-(B48+B49+B41+B59+B30)</f>
        <v>0</v>
      </c>
      <c r="C54" s="94">
        <f t="shared" ref="C54:K54" si="39">+C53-(C48+C49+C41+C59+C30)</f>
        <v>0</v>
      </c>
      <c r="D54" s="94">
        <f t="shared" si="39"/>
        <v>0</v>
      </c>
      <c r="E54" s="94">
        <f t="shared" si="39"/>
        <v>0</v>
      </c>
      <c r="F54" s="94">
        <f t="shared" si="39"/>
        <v>0</v>
      </c>
      <c r="G54" s="94">
        <f t="shared" si="39"/>
        <v>0</v>
      </c>
      <c r="H54" s="94">
        <f t="shared" si="39"/>
        <v>0</v>
      </c>
      <c r="I54" s="94">
        <f t="shared" si="39"/>
        <v>0</v>
      </c>
      <c r="J54" s="94">
        <f t="shared" si="39"/>
        <v>0</v>
      </c>
      <c r="K54" s="94">
        <f t="shared" si="39"/>
        <v>0</v>
      </c>
      <c r="L54" s="81">
        <f>SUM(B54:K54)</f>
        <v>0</v>
      </c>
      <c r="M54" s="108"/>
      <c r="S54" s="5"/>
      <c r="T54" s="5"/>
    </row>
    <row r="55" spans="1:24" ht="12" thickBot="1" x14ac:dyDescent="0.25">
      <c r="A55" s="99" t="s">
        <v>18</v>
      </c>
      <c r="B55" s="126">
        <f>IF(AND('rates, dates, etc'!$B$8="no",'Budget Summary'!$L$99&lt;'Budget Summary'!$L$100),B61,B62)</f>
        <v>0</v>
      </c>
      <c r="C55" s="126">
        <f>IF(AND('rates, dates, etc'!$B$8="no",'Budget Summary'!$L$99&lt;'Budget Summary'!$L$100),C61,C62)</f>
        <v>0</v>
      </c>
      <c r="D55" s="126">
        <f>IF(AND('rates, dates, etc'!$B$8="no",'Budget Summary'!$L$99&lt;'Budget Summary'!$L$100),D61,D62)</f>
        <v>0</v>
      </c>
      <c r="E55" s="126">
        <f>IF(AND('rates, dates, etc'!$B$8="no",'Budget Summary'!$L$99&lt;'Budget Summary'!$L$100),E61,E62)</f>
        <v>0</v>
      </c>
      <c r="F55" s="126">
        <f>IF(AND('rates, dates, etc'!$B$8="no",'Budget Summary'!$L$99&lt;'Budget Summary'!$L$100),F61,F62)</f>
        <v>0</v>
      </c>
      <c r="G55" s="126">
        <f>IF(AND('rates, dates, etc'!$B$8="no",'Budget Summary'!$L$99&lt;'Budget Summary'!$L$100),G61,G62)</f>
        <v>0</v>
      </c>
      <c r="H55" s="126">
        <f>IF(AND('rates, dates, etc'!$B$8="no",'Budget Summary'!$L$99&lt;'Budget Summary'!$L$100),H61,H62)</f>
        <v>0</v>
      </c>
      <c r="I55" s="126">
        <f>IF(AND('rates, dates, etc'!$B$8="no",'Budget Summary'!$L$99&lt;'Budget Summary'!$L$100),I61,I62)</f>
        <v>0</v>
      </c>
      <c r="J55" s="126">
        <f>IF(AND('rates, dates, etc'!$B$8="no",'Budget Summary'!$L$99&lt;'Budget Summary'!$L$100),J61,J62)</f>
        <v>0</v>
      </c>
      <c r="K55" s="126">
        <f>IF(AND('rates, dates, etc'!$B$8="no",'Budget Summary'!$L$99&lt;'Budget Summary'!$L$100),K61,K62)</f>
        <v>0</v>
      </c>
      <c r="L55" s="127">
        <f>SUM(B55:K55)</f>
        <v>0</v>
      </c>
      <c r="M55" s="107"/>
      <c r="S55" s="5"/>
      <c r="T55" s="5"/>
    </row>
    <row r="56" spans="1:24" ht="12" thickBot="1" x14ac:dyDescent="0.25">
      <c r="A56" s="100" t="s">
        <v>19</v>
      </c>
      <c r="B56" s="128">
        <f>+B53+B55</f>
        <v>0</v>
      </c>
      <c r="C56" s="128">
        <f t="shared" ref="C56:K56" si="40">+C53+C55</f>
        <v>0</v>
      </c>
      <c r="D56" s="128">
        <f t="shared" si="40"/>
        <v>0</v>
      </c>
      <c r="E56" s="128">
        <f t="shared" si="40"/>
        <v>0</v>
      </c>
      <c r="F56" s="128">
        <f t="shared" si="40"/>
        <v>0</v>
      </c>
      <c r="G56" s="128">
        <f t="shared" si="40"/>
        <v>0</v>
      </c>
      <c r="H56" s="128">
        <f t="shared" si="40"/>
        <v>0</v>
      </c>
      <c r="I56" s="128">
        <f t="shared" si="40"/>
        <v>0</v>
      </c>
      <c r="J56" s="128">
        <f t="shared" si="40"/>
        <v>0</v>
      </c>
      <c r="K56" s="128">
        <f t="shared" si="40"/>
        <v>0</v>
      </c>
      <c r="L56" s="129">
        <f>SUM(B56:K56)</f>
        <v>0</v>
      </c>
      <c r="Q56" s="4"/>
      <c r="S56" s="5"/>
      <c r="T56" s="5"/>
    </row>
    <row r="57" spans="1:24" x14ac:dyDescent="0.2">
      <c r="A57" s="7"/>
      <c r="B57" s="4"/>
      <c r="C57" s="4"/>
      <c r="D57" s="4"/>
      <c r="E57" s="4"/>
      <c r="F57" s="4"/>
      <c r="G57" s="4"/>
      <c r="H57" s="4"/>
      <c r="I57" s="4"/>
      <c r="J57" s="4"/>
      <c r="K57" s="4"/>
      <c r="Q57" s="4"/>
      <c r="S57" s="5"/>
      <c r="T57" s="5"/>
    </row>
    <row r="58" spans="1:24" ht="12" thickBot="1" x14ac:dyDescent="0.25"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17"/>
    </row>
    <row r="59" spans="1:24" ht="12" thickBot="1" x14ac:dyDescent="0.25">
      <c r="A59" s="20" t="s">
        <v>40</v>
      </c>
      <c r="B59" s="87">
        <f>+B47-IF(B47&lt;25000,B47,25000)</f>
        <v>0</v>
      </c>
      <c r="C59" s="87">
        <f>+C47-IF(+B47&gt;25000,0,IF(B47+C47&gt;25000,(25000-B47),C47))</f>
        <v>0</v>
      </c>
      <c r="D59" s="87">
        <f>+D47-IF(+B47+C47&gt;25000,0,IF(B47+C47+D47&gt;25000,(25000-(B47+C47)),D47))</f>
        <v>0</v>
      </c>
      <c r="E59" s="87">
        <f>+E47-IF(B47+C47+D47&gt;25000,0,IF(B47+C47+D47+E47&gt;25000,(25000-(C47+C47+D47)),E47))</f>
        <v>0</v>
      </c>
      <c r="F59" s="87">
        <f>+F47-IF(B47+C47+D47+E47&gt;25000,0,IF(B47+C47+D47+E47+F47&gt;25000,(25000-(B47+C47+D47+E47)),F47))</f>
        <v>0</v>
      </c>
      <c r="G59" s="87">
        <f>+G47-IF(C47+D47+E47+F47&gt;25000,0,IF(C47+D47+E47+F47+G47&gt;25000,(25000-(C47+D47+E47+F47)),G47))</f>
        <v>0</v>
      </c>
      <c r="H59" s="87">
        <f t="shared" ref="H59:K59" si="41">+H47-IF(D47+E47+F47+G47&gt;25000,0,IF(D47+E47+F47+G47+H47&gt;25000,(25000-(D47+E47+F47+G47)),H47))</f>
        <v>0</v>
      </c>
      <c r="I59" s="87">
        <f t="shared" si="41"/>
        <v>0</v>
      </c>
      <c r="J59" s="87">
        <f t="shared" si="41"/>
        <v>0</v>
      </c>
      <c r="K59" s="87">
        <f t="shared" si="41"/>
        <v>0</v>
      </c>
      <c r="L59" s="92">
        <f>SUM(B59:K59)</f>
        <v>0</v>
      </c>
    </row>
    <row r="60" spans="1:24" ht="12" thickBo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24" ht="12" thickBot="1" x14ac:dyDescent="0.25">
      <c r="A61" s="90" t="s">
        <v>110</v>
      </c>
      <c r="B61" s="93">
        <f>IF('rates, dates, etc'!$B$8="Yes",0,ROUND((B53*O83*$P$87)+(B53*P83*$P$88),0))</f>
        <v>0</v>
      </c>
      <c r="C61" s="93">
        <f>IF('rates, dates, etc'!$B$8="Yes",0,ROUND((C53*P83*$P$87)+(C53*Q83*$P$88),0))</f>
        <v>0</v>
      </c>
      <c r="D61" s="93">
        <f>IF('rates, dates, etc'!$B$8="Yes",0,ROUND((D53*Q83*$P$87)+(D53*R83*$P$88),0))</f>
        <v>0</v>
      </c>
      <c r="E61" s="93">
        <f>IF('rates, dates, etc'!$B$8="Yes",0,ROUND((E53*R83*$P$87)+(E53*S83*$P$88),0))</f>
        <v>0</v>
      </c>
      <c r="F61" s="93">
        <f>IF('rates, dates, etc'!$B$8="Yes",0,ROUND((F53*S83*$P$87)+(F53*T83*$P$88),0))</f>
        <v>0</v>
      </c>
      <c r="G61" s="93">
        <f>IF('rates, dates, etc'!$B$8="Yes",0,ROUND((G53*T83*$P$87)+(G53*U83*$P$88),0))</f>
        <v>0</v>
      </c>
      <c r="H61" s="93">
        <f>IF('rates, dates, etc'!$B$8="Yes",0,ROUND((H53*U83*$P$87)+(H53*V83*$P$88),0))</f>
        <v>0</v>
      </c>
      <c r="I61" s="93">
        <f>IF('rates, dates, etc'!$B$8="Yes",0,ROUND((I53*V83*$P$87)+(I53*W83*$P$88),0))</f>
        <v>0</v>
      </c>
      <c r="J61" s="93">
        <f>IF('rates, dates, etc'!$B$8="Yes",0,ROUND((J53*W83*$P$87)+(J53*X83*$P$88),0))</f>
        <v>0</v>
      </c>
      <c r="K61" s="93">
        <f>IF('rates, dates, etc'!$B$8="Yes",0,ROUND((K53*X83*$P$87)+(K53*Y83*$P$88),0))</f>
        <v>0</v>
      </c>
      <c r="L61" s="93">
        <f>SUM(B61:K61)</f>
        <v>0</v>
      </c>
    </row>
    <row r="62" spans="1:24" ht="12" thickBot="1" x14ac:dyDescent="0.25">
      <c r="A62" s="91" t="s">
        <v>109</v>
      </c>
      <c r="B62" s="93">
        <f t="shared" ref="B62:K62" si="42">ROUND((B54*O84*$P$87)+(B54*P84*$P$88),0)</f>
        <v>0</v>
      </c>
      <c r="C62" s="95">
        <f t="shared" si="42"/>
        <v>0</v>
      </c>
      <c r="D62" s="95">
        <f t="shared" si="42"/>
        <v>0</v>
      </c>
      <c r="E62" s="95">
        <f t="shared" si="42"/>
        <v>0</v>
      </c>
      <c r="F62" s="95">
        <f t="shared" si="42"/>
        <v>0</v>
      </c>
      <c r="G62" s="95">
        <f t="shared" si="42"/>
        <v>0</v>
      </c>
      <c r="H62" s="95">
        <f t="shared" si="42"/>
        <v>0</v>
      </c>
      <c r="I62" s="95">
        <f t="shared" si="42"/>
        <v>0</v>
      </c>
      <c r="J62" s="95">
        <f t="shared" si="42"/>
        <v>0</v>
      </c>
      <c r="K62" s="95">
        <f t="shared" si="42"/>
        <v>0</v>
      </c>
      <c r="L62" s="93">
        <f>SUM(B62:K62)</f>
        <v>0</v>
      </c>
    </row>
    <row r="64" spans="1:24" ht="12" thickBot="1" x14ac:dyDescent="0.25">
      <c r="N64" s="43" t="s">
        <v>71</v>
      </c>
      <c r="O64" s="9" t="str">
        <f>+'rates, dates, etc'!B85</f>
        <v>Year 1</v>
      </c>
      <c r="P64" s="9" t="str">
        <f>+'rates, dates, etc'!C85</f>
        <v>Year 2</v>
      </c>
      <c r="Q64" s="9" t="str">
        <f>+'rates, dates, etc'!D85</f>
        <v>Year 3</v>
      </c>
      <c r="R64" s="9" t="str">
        <f>+'rates, dates, etc'!E85</f>
        <v>Year 4</v>
      </c>
      <c r="S64" s="9" t="str">
        <f>+'rates, dates, etc'!F85</f>
        <v>Year 5</v>
      </c>
      <c r="T64" s="9" t="str">
        <f>+'rates, dates, etc'!G85</f>
        <v>Year 6</v>
      </c>
      <c r="U64" s="9" t="str">
        <f>+'rates, dates, etc'!H85</f>
        <v>Year 7</v>
      </c>
      <c r="V64" s="9" t="str">
        <f>+'rates, dates, etc'!I85</f>
        <v>Year 8</v>
      </c>
      <c r="W64" s="9" t="str">
        <f>+'rates, dates, etc'!J85</f>
        <v>Year 9</v>
      </c>
      <c r="X64" s="9" t="str">
        <f>+'rates, dates, etc'!K85</f>
        <v>Year 10</v>
      </c>
    </row>
    <row r="65" spans="2:27" x14ac:dyDescent="0.2"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17"/>
      <c r="N65" s="14" t="s">
        <v>32</v>
      </c>
      <c r="O65" s="15">
        <f>SUM('rates, dates, etc'!S161:S163)/3</f>
        <v>0</v>
      </c>
      <c r="P65" s="15">
        <f>SUM('rates, dates, etc'!T161:T163)/3</f>
        <v>0</v>
      </c>
      <c r="Q65" s="15">
        <f>SUM('rates, dates, etc'!U161:U163)/3</f>
        <v>0</v>
      </c>
      <c r="R65" s="15">
        <f>SUM('rates, dates, etc'!V161:V163)/3</f>
        <v>0</v>
      </c>
      <c r="S65" s="15">
        <f>SUM('rates, dates, etc'!W161:W163)/3</f>
        <v>0</v>
      </c>
      <c r="T65" s="15">
        <f>SUM('rates, dates, etc'!X161:X163)/3</f>
        <v>0</v>
      </c>
      <c r="U65" s="15">
        <f>SUM('rates, dates, etc'!Y161:Y163)/3</f>
        <v>0</v>
      </c>
      <c r="V65" s="15">
        <f>SUM('rates, dates, etc'!Z161:Z163)/3</f>
        <v>0</v>
      </c>
      <c r="W65" s="15">
        <f>SUM('rates, dates, etc'!AA161:AA163)/3</f>
        <v>0</v>
      </c>
      <c r="X65" s="15">
        <f>SUM('rates, dates, etc'!AB161:AB163)/3</f>
        <v>0</v>
      </c>
    </row>
    <row r="66" spans="2:27" x14ac:dyDescent="0.2"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17"/>
      <c r="N66" s="3" t="s">
        <v>144</v>
      </c>
      <c r="O66" s="4">
        <f>(SUMIF('rates, dates, etc'!$R$177:$R$185,"Stipend (Fall)",'rates, dates, etc'!S177:S185))+
(SUMIF('rates, dates, etc'!$R$177:$R$185,"Stipend (Spring)",'rates, dates, etc'!S177:S185))</f>
        <v>0</v>
      </c>
      <c r="P66" s="4">
        <f>(SUMIF('rates, dates, etc'!$R$177:$R$185,"Stipend (Fall)",'rates, dates, etc'!T177:T185))+
(SUMIF('rates, dates, etc'!$R$177:$R$185,"Stipend (Spring)",'rates, dates, etc'!T177:T185))</f>
        <v>0</v>
      </c>
      <c r="Q66" s="4">
        <f>(SUMIF('rates, dates, etc'!$R$177:$R$185,"Stipend (Fall)",'rates, dates, etc'!U177:U185))+
(SUMIF('rates, dates, etc'!$R$177:$R$185,"Stipend (Spring)",'rates, dates, etc'!U177:U185))</f>
        <v>0</v>
      </c>
      <c r="R66" s="4">
        <f>(SUMIF('rates, dates, etc'!$R$177:$R$185,"Stipend (Fall)",'rates, dates, etc'!V177:V185))+
(SUMIF('rates, dates, etc'!$R$177:$R$185,"Stipend (Spring)",'rates, dates, etc'!V177:V185))</f>
        <v>0</v>
      </c>
      <c r="S66" s="4">
        <f>(SUMIF('rates, dates, etc'!$R$177:$R$185,"Stipend (Fall)",'rates, dates, etc'!W177:W185))+
(SUMIF('rates, dates, etc'!$R$177:$R$185,"Stipend (Spring)",'rates, dates, etc'!W177:W185))</f>
        <v>0</v>
      </c>
      <c r="T66" s="4">
        <f>(SUMIF('rates, dates, etc'!$R$177:$R$185,"Stipend (Fall)",'rates, dates, etc'!X177:X185))+
(SUMIF('rates, dates, etc'!$R$177:$R$185,"Stipend (Spring)",'rates, dates, etc'!X177:X185))</f>
        <v>0</v>
      </c>
      <c r="U66" s="4">
        <f>(SUMIF('rates, dates, etc'!$R$177:$R$185,"Stipend (Fall)",'rates, dates, etc'!Y177:Y185))+
(SUMIF('rates, dates, etc'!$R$177:$R$185,"Stipend (Spring)",'rates, dates, etc'!Y177:Y185))</f>
        <v>0</v>
      </c>
      <c r="V66" s="4">
        <f>(SUMIF('rates, dates, etc'!$R$177:$R$185,"Stipend (Fall)",'rates, dates, etc'!Z177:Z185))+
(SUMIF('rates, dates, etc'!$R$177:$R$185,"Stipend (Spring)",'rates, dates, etc'!Z177:Z185))</f>
        <v>0</v>
      </c>
      <c r="W66" s="4">
        <f>(SUMIF('rates, dates, etc'!$R$177:$R$185,"Stipend (Fall)",'rates, dates, etc'!AA177:AA185))+
(SUMIF('rates, dates, etc'!$R$177:$R$185,"Stipend (Spring)",'rates, dates, etc'!AA177:AA185))</f>
        <v>0</v>
      </c>
      <c r="X66" s="4">
        <f>(SUMIF('rates, dates, etc'!$R$177:$R$185,"Stipend (Fall)",'rates, dates, etc'!AB177:AB185))+
(SUMIF('rates, dates, etc'!$R$177:$R$185,"Stipend (Spring)",'rates, dates, etc'!AB177:AB185))</f>
        <v>0</v>
      </c>
      <c r="Y66" s="5">
        <f>SUM(O66:X66)</f>
        <v>0</v>
      </c>
    </row>
    <row r="67" spans="2:27" x14ac:dyDescent="0.2"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17"/>
      <c r="N67" s="3" t="s">
        <v>145</v>
      </c>
      <c r="O67" s="4">
        <f>(SUMIF('rates, dates, etc'!$R$177:$R$185,"Stipend (Summer)",'rates, dates, etc'!S177:S185))</f>
        <v>0</v>
      </c>
      <c r="P67" s="4">
        <f>(SUMIF('rates, dates, etc'!$R$177:$R$185,"Stipend (Summer)",'rates, dates, etc'!T177:T185))</f>
        <v>0</v>
      </c>
      <c r="Q67" s="4">
        <f>(SUMIF('rates, dates, etc'!$R$177:$R$185,"Stipend (Summer)",'rates, dates, etc'!U177:U185))</f>
        <v>0</v>
      </c>
      <c r="R67" s="4">
        <f>(SUMIF('rates, dates, etc'!$R$177:$R$185,"Stipend (Summer)",'rates, dates, etc'!V177:V185))</f>
        <v>0</v>
      </c>
      <c r="S67" s="4">
        <f>(SUMIF('rates, dates, etc'!$R$177:$R$185,"Stipend (Summer)",'rates, dates, etc'!W177:W185))</f>
        <v>0</v>
      </c>
      <c r="T67" s="4">
        <f>(SUMIF('rates, dates, etc'!$R$177:$R$185,"Stipend (Summer)",'rates, dates, etc'!X177:X185))</f>
        <v>0</v>
      </c>
      <c r="U67" s="4">
        <f>(SUMIF('rates, dates, etc'!$R$177:$R$185,"Stipend (Summer)",'rates, dates, etc'!Y177:Y185))</f>
        <v>0</v>
      </c>
      <c r="V67" s="4">
        <f>(SUMIF('rates, dates, etc'!$R$177:$R$185,"Stipend (Summer)",'rates, dates, etc'!Z177:Z185))</f>
        <v>0</v>
      </c>
      <c r="W67" s="4">
        <f>(SUMIF('rates, dates, etc'!$R$177:$R$185,"Stipend (Summer)",'rates, dates, etc'!AA177:AA185))</f>
        <v>0</v>
      </c>
      <c r="X67" s="4">
        <f>(SUMIF('rates, dates, etc'!$R$177:$R$185,"Stipend (Summer)",'rates, dates, etc'!AB177:AB185))</f>
        <v>0</v>
      </c>
      <c r="Y67" s="5">
        <f t="shared" ref="Y67:Y70" si="43">SUM(O67:X67)</f>
        <v>0</v>
      </c>
    </row>
    <row r="68" spans="2:27" x14ac:dyDescent="0.2">
      <c r="N68" s="3" t="s">
        <v>8</v>
      </c>
      <c r="O68" s="4">
        <f>(SUMIF('rates, dates, etc'!$R$177:$R$185,"Tuition (Fall)",'rates, dates, etc'!S177:S185))+
(SUMIF('rates, dates, etc'!$R$177:$R$185,"Tuition (Spring)",'rates, dates, etc'!S177:S185))+
(SUMIF('rates, dates, etc'!$R$177:$R$185,"Tuition (Summer)",'rates, dates, etc'!S177:S185))</f>
        <v>0</v>
      </c>
      <c r="P68" s="4">
        <f>(SUMIF('rates, dates, etc'!$R$177:$R$185,"Tuition (Fall)",'rates, dates, etc'!T177:T185))+
(SUMIF('rates, dates, etc'!$R$177:$R$185,"Tuition (Spring)",'rates, dates, etc'!T177:T185))+
(SUMIF('rates, dates, etc'!$R$177:$R$185,"Tuition (Summer)",'rates, dates, etc'!T177:T185))</f>
        <v>0</v>
      </c>
      <c r="Q68" s="4">
        <f>(SUMIF('rates, dates, etc'!$R$177:$R$185,"Tuition (Fall)",'rates, dates, etc'!U177:U185))+
(SUMIF('rates, dates, etc'!$R$177:$R$185,"Tuition (Spring)",'rates, dates, etc'!U177:U185))+
(SUMIF('rates, dates, etc'!$R$177:$R$185,"Tuition (Summer)",'rates, dates, etc'!U177:U185))</f>
        <v>0</v>
      </c>
      <c r="R68" s="4">
        <f>(SUMIF('rates, dates, etc'!$R$177:$R$185,"Tuition (Fall)",'rates, dates, etc'!V177:V185))+
(SUMIF('rates, dates, etc'!$R$177:$R$185,"Tuition (Spring)",'rates, dates, etc'!V177:V185))+
(SUMIF('rates, dates, etc'!$R$177:$R$185,"Tuition (Summer)",'rates, dates, etc'!V177:V185))</f>
        <v>0</v>
      </c>
      <c r="S68" s="4">
        <f>(SUMIF('rates, dates, etc'!$R$177:$R$185,"Tuition (Fall)",'rates, dates, etc'!W177:W185))+
(SUMIF('rates, dates, etc'!$R$177:$R$185,"Tuition (Spring)",'rates, dates, etc'!W177:W185))+
(SUMIF('rates, dates, etc'!$R$177:$R$185,"Tuition (Summer)",'rates, dates, etc'!W177:W185))</f>
        <v>0</v>
      </c>
      <c r="T68" s="4">
        <f>(SUMIF('rates, dates, etc'!$R$177:$R$185,"Tuition (Fall)",'rates, dates, etc'!X177:X185))+
(SUMIF('rates, dates, etc'!$R$177:$R$185,"Tuition (Spring)",'rates, dates, etc'!X177:X185))+
(SUMIF('rates, dates, etc'!$R$177:$R$185,"Tuition (Summer)",'rates, dates, etc'!X177:X185))</f>
        <v>0</v>
      </c>
      <c r="U68" s="4">
        <f>(SUMIF('rates, dates, etc'!$R$177:$R$185,"Tuition (Fall)",'rates, dates, etc'!Y177:Y185))+
(SUMIF('rates, dates, etc'!$R$177:$R$185,"Tuition (Spring)",'rates, dates, etc'!Y177:Y185))+
(SUMIF('rates, dates, etc'!$R$177:$R$185,"Tuition (Summer)",'rates, dates, etc'!Y177:Y185))</f>
        <v>0</v>
      </c>
      <c r="V68" s="4">
        <f>(SUMIF('rates, dates, etc'!$R$177:$R$185,"Tuition (Fall)",'rates, dates, etc'!Z177:Z185))+
(SUMIF('rates, dates, etc'!$R$177:$R$185,"Tuition (Spring)",'rates, dates, etc'!Z177:Z185))+
(SUMIF('rates, dates, etc'!$R$177:$R$185,"Tuition (Summer)",'rates, dates, etc'!Z177:Z185))</f>
        <v>0</v>
      </c>
      <c r="W68" s="4">
        <f>(SUMIF('rates, dates, etc'!$R$177:$R$185,"Tuition (Fall)",'rates, dates, etc'!AA177:AA185))+
(SUMIF('rates, dates, etc'!$R$177:$R$185,"Tuition (Spring)",'rates, dates, etc'!AA177:AA185))+
(SUMIF('rates, dates, etc'!$R$177:$R$185,"Tuition (Summer)",'rates, dates, etc'!AA177:AA185))</f>
        <v>0</v>
      </c>
      <c r="X68" s="4">
        <f>(SUMIF('rates, dates, etc'!$R$177:$R$185,"Tuition (Fall)",'rates, dates, etc'!AB177:AB185))+
(SUMIF('rates, dates, etc'!$R$177:$R$185,"Tuition (Spring)",'rates, dates, etc'!AB177:AB185))+
(SUMIF('rates, dates, etc'!$R$177:$R$185,"Tuition (Summer)",'rates, dates, etc'!AB177:AB185))</f>
        <v>0</v>
      </c>
      <c r="Y68" s="5">
        <f t="shared" si="43"/>
        <v>0</v>
      </c>
    </row>
    <row r="69" spans="2:27" x14ac:dyDescent="0.2">
      <c r="N69" s="3" t="s">
        <v>9</v>
      </c>
      <c r="O69" s="4">
        <f>(SUMIF('rates, dates, etc'!$R$177:$R$185,"Health Insurance (Fall)",'rates, dates, etc'!S177:S185))+
(SUMIF('rates, dates, etc'!$R$177:$R$185,"Health Insurance (Spring)",'rates, dates, etc'!S177:S185))+
(SUMIF('rates, dates, etc'!$R$177:$R$185,"Health Insurance (Summer)",'rates, dates, etc'!S177:S185))</f>
        <v>0</v>
      </c>
      <c r="P69" s="4">
        <f>(SUMIF('rates, dates, etc'!$R$177:$R$185,"Health Insurance (Fall)",'rates, dates, etc'!T177:T185))+
(SUMIF('rates, dates, etc'!$R$177:$R$185,"Health Insurance (Spring)",'rates, dates, etc'!T177:T185))+
(SUMIF('rates, dates, etc'!$R$177:$R$185,"Health Insurance (Summer)",'rates, dates, etc'!T177:T185))</f>
        <v>0</v>
      </c>
      <c r="Q69" s="4">
        <f>(SUMIF('rates, dates, etc'!$R$177:$R$185,"Health Insurance (Fall)",'rates, dates, etc'!U177:U185))+
(SUMIF('rates, dates, etc'!$R$177:$R$185,"Health Insurance (Spring)",'rates, dates, etc'!U177:U185))+
(SUMIF('rates, dates, etc'!$R$177:$R$185,"Health Insurance (Summer)",'rates, dates, etc'!U177:U185))</f>
        <v>0</v>
      </c>
      <c r="R69" s="4">
        <f>(SUMIF('rates, dates, etc'!$R$177:$R$185,"Health Insurance (Fall)",'rates, dates, etc'!V177:V185))+
(SUMIF('rates, dates, etc'!$R$177:$R$185,"Health Insurance (Spring)",'rates, dates, etc'!V177:V185))+
(SUMIF('rates, dates, etc'!$R$177:$R$185,"Health Insurance (Summer)",'rates, dates, etc'!V177:V185))</f>
        <v>0</v>
      </c>
      <c r="S69" s="4">
        <f>(SUMIF('rates, dates, etc'!$R$177:$R$185,"Health Insurance (Fall)",'rates, dates, etc'!W177:W185))+
(SUMIF('rates, dates, etc'!$R$177:$R$185,"Health Insurance (Spring)",'rates, dates, etc'!W177:W185))+
(SUMIF('rates, dates, etc'!$R$177:$R$185,"Health Insurance (Summer)",'rates, dates, etc'!W177:W185))</f>
        <v>0</v>
      </c>
      <c r="T69" s="4">
        <f>(SUMIF('rates, dates, etc'!$R$177:$R$185,"Health Insurance (Fall)",'rates, dates, etc'!X177:X185))+
(SUMIF('rates, dates, etc'!$R$177:$R$185,"Health Insurance (Spring)",'rates, dates, etc'!X177:X185))+
(SUMIF('rates, dates, etc'!$R$177:$R$185,"Health Insurance (Summer)",'rates, dates, etc'!X177:X185))</f>
        <v>0</v>
      </c>
      <c r="U69" s="4">
        <f>(SUMIF('rates, dates, etc'!$R$177:$R$185,"Health Insurance (Fall)",'rates, dates, etc'!Y177:Y185))+
(SUMIF('rates, dates, etc'!$R$177:$R$185,"Health Insurance (Spring)",'rates, dates, etc'!Y177:Y185))+
(SUMIF('rates, dates, etc'!$R$177:$R$185,"Health Insurance (Summer)",'rates, dates, etc'!Y177:Y185))</f>
        <v>0</v>
      </c>
      <c r="V69" s="4">
        <f>(SUMIF('rates, dates, etc'!$R$177:$R$185,"Health Insurance (Fall)",'rates, dates, etc'!Z177:Z185))+
(SUMIF('rates, dates, etc'!$R$177:$R$185,"Health Insurance (Spring)",'rates, dates, etc'!Z177:Z185))+
(SUMIF('rates, dates, etc'!$R$177:$R$185,"Health Insurance (Summer)",'rates, dates, etc'!Z177:Z185))</f>
        <v>0</v>
      </c>
      <c r="W69" s="4">
        <f>(SUMIF('rates, dates, etc'!$R$177:$R$185,"Health Insurance (Fall)",'rates, dates, etc'!AA177:AA185))+
(SUMIF('rates, dates, etc'!$R$177:$R$185,"Health Insurance (Spring)",'rates, dates, etc'!AA177:AA185))+
(SUMIF('rates, dates, etc'!$R$177:$R$185,"Health Insurance (Summer)",'rates, dates, etc'!AA177:AA185))</f>
        <v>0</v>
      </c>
      <c r="X69" s="4">
        <f>(SUMIF('rates, dates, etc'!$R$177:$R$185,"Health Insurance (Fall)",'rates, dates, etc'!AB177:AB185))+
(SUMIF('rates, dates, etc'!$R$177:$R$185,"Health Insurance (Spring)",'rates, dates, etc'!AB177:AB185))+
(SUMIF('rates, dates, etc'!$R$177:$R$185,"Health Insurance (Summer)",'rates, dates, etc'!AB177:AB185))</f>
        <v>0</v>
      </c>
      <c r="Y69" s="5">
        <f t="shared" si="43"/>
        <v>0</v>
      </c>
    </row>
    <row r="70" spans="2:27" ht="12" thickBot="1" x14ac:dyDescent="0.25">
      <c r="N70" s="13" t="s">
        <v>31</v>
      </c>
      <c r="O70" s="16">
        <f>SUM(O66:O69)</f>
        <v>0</v>
      </c>
      <c r="P70" s="16">
        <f>SUM(P66:P69)</f>
        <v>0</v>
      </c>
      <c r="Q70" s="16">
        <f>SUM(Q66:Q69)</f>
        <v>0</v>
      </c>
      <c r="R70" s="16">
        <f>SUM(R66:R69)</f>
        <v>0</v>
      </c>
      <c r="S70" s="16">
        <f>SUM(S66:S69)</f>
        <v>0</v>
      </c>
      <c r="T70" s="16">
        <f t="shared" ref="T70:X70" si="44">SUM(T66:T69)</f>
        <v>0</v>
      </c>
      <c r="U70" s="16">
        <f t="shared" si="44"/>
        <v>0</v>
      </c>
      <c r="V70" s="16">
        <f t="shared" si="44"/>
        <v>0</v>
      </c>
      <c r="W70" s="16">
        <f t="shared" si="44"/>
        <v>0</v>
      </c>
      <c r="X70" s="16">
        <f t="shared" si="44"/>
        <v>0</v>
      </c>
      <c r="Y70" s="5">
        <f t="shared" si="43"/>
        <v>0</v>
      </c>
    </row>
    <row r="72" spans="2:27" x14ac:dyDescent="0.2">
      <c r="Q72" s="2"/>
      <c r="R72" s="2">
        <f>+E22-'Lead Budget'!E22</f>
        <v>0</v>
      </c>
      <c r="S72" s="2">
        <f>+F22-'Lead Budget'!F22</f>
        <v>0</v>
      </c>
    </row>
    <row r="74" spans="2:27" x14ac:dyDescent="0.2">
      <c r="N74" s="44" t="s">
        <v>33</v>
      </c>
    </row>
    <row r="75" spans="2:27" x14ac:dyDescent="0.2">
      <c r="N75" s="64" t="s">
        <v>103</v>
      </c>
      <c r="O75" s="65" t="str">
        <f>+'rates, dates, etc'!AE5</f>
        <v>FY2026</v>
      </c>
      <c r="P75" s="65" t="str">
        <f>+'rates, dates, etc'!AF5</f>
        <v>FY2027</v>
      </c>
      <c r="Q75" s="65" t="str">
        <f>+'rates, dates, etc'!AG5</f>
        <v>FY2028</v>
      </c>
      <c r="R75" s="65" t="str">
        <f>+'rates, dates, etc'!AH5</f>
        <v>FY2029</v>
      </c>
      <c r="S75" s="65" t="str">
        <f>+'rates, dates, etc'!AI5</f>
        <v>FY2030</v>
      </c>
      <c r="T75" s="65" t="str">
        <f>+'rates, dates, etc'!AJ5</f>
        <v>FY2031</v>
      </c>
      <c r="U75" s="65" t="str">
        <f>+'rates, dates, etc'!AK5</f>
        <v>FY2032</v>
      </c>
      <c r="V75" s="65" t="str">
        <f>+'rates, dates, etc'!AL5</f>
        <v>FY2033</v>
      </c>
      <c r="W75" s="65" t="str">
        <f>+'rates, dates, etc'!AM5</f>
        <v>FY2034</v>
      </c>
      <c r="X75" s="65" t="str">
        <f>+'rates, dates, etc'!AN5</f>
        <v>FY2035</v>
      </c>
      <c r="Y75" s="65" t="str">
        <f>+'rates, dates, etc'!AO5</f>
        <v>FY2036</v>
      </c>
      <c r="Z75" s="65"/>
      <c r="AA75" s="65"/>
    </row>
    <row r="76" spans="2:27" x14ac:dyDescent="0.2">
      <c r="N76" s="2" t="str">
        <f>+'rates, dates, etc'!A119</f>
        <v xml:space="preserve">   Endowed - Senior Personnel</v>
      </c>
      <c r="O76" s="9">
        <f>IF('rates, dates, etc'!B118='rates, dates, etc'!AE5,'rates, dates, etc'!B119,'rates, dates, etc'!C119)</f>
        <v>0.35</v>
      </c>
      <c r="P76" s="9">
        <f>IF('rates, dates, etc'!C118='rates, dates, etc'!AF5,'rates, dates, etc'!C119,'rates, dates, etc'!D119)</f>
        <v>0.35499999999999998</v>
      </c>
      <c r="Q76" s="9">
        <f>IF('rates, dates, etc'!D118='rates, dates, etc'!AG5,'rates, dates, etc'!D119,'rates, dates, etc'!E119)</f>
        <v>0.37</v>
      </c>
      <c r="R76" s="9">
        <f>IF('rates, dates, etc'!E118='rates, dates, etc'!AH5,'rates, dates, etc'!E119,'rates, dates, etc'!F119)</f>
        <v>0.37</v>
      </c>
      <c r="S76" s="9">
        <f>IF('rates, dates, etc'!F118='rates, dates, etc'!AI5,'rates, dates, etc'!F119,'rates, dates, etc'!G119)</f>
        <v>0.37</v>
      </c>
      <c r="T76" s="9">
        <f>IF('rates, dates, etc'!G118='rates, dates, etc'!AJ5,'rates, dates, etc'!G119,'rates, dates, etc'!H119)</f>
        <v>0.37</v>
      </c>
      <c r="U76" s="9">
        <f>IF('rates, dates, etc'!H118='rates, dates, etc'!AK5,'rates, dates, etc'!H119,'rates, dates, etc'!I119)</f>
        <v>0.37</v>
      </c>
      <c r="V76" s="9">
        <f>IF('rates, dates, etc'!I118='rates, dates, etc'!AL5,'rates, dates, etc'!I119,'rates, dates, etc'!J119)</f>
        <v>0.37</v>
      </c>
      <c r="W76" s="9">
        <f>IF('rates, dates, etc'!J118='rates, dates, etc'!AM5,'rates, dates, etc'!J119,'rates, dates, etc'!K119)</f>
        <v>0.37</v>
      </c>
      <c r="X76" s="9">
        <f>IF('rates, dates, etc'!K118='rates, dates, etc'!AN5,'rates, dates, etc'!K119,'rates, dates, etc'!L119)</f>
        <v>0.37</v>
      </c>
      <c r="Y76" s="9">
        <f>IF('rates, dates, etc'!L118='rates, dates, etc'!AO5,'rates, dates, etc'!L119,'rates, dates, etc'!M119)</f>
        <v>0.37</v>
      </c>
      <c r="Z76" s="9"/>
      <c r="AA76" s="9"/>
    </row>
    <row r="77" spans="2:27" x14ac:dyDescent="0.2">
      <c r="O77" s="1"/>
      <c r="P77" s="1"/>
    </row>
    <row r="78" spans="2:27" x14ac:dyDescent="0.2">
      <c r="N78" s="64" t="s">
        <v>104</v>
      </c>
      <c r="O78" s="45" t="str">
        <f>+'rates, dates, etc'!AE4</f>
        <v>FY2025</v>
      </c>
      <c r="P78" s="45" t="str">
        <f>+'rates, dates, etc'!AF4</f>
        <v>FY2026</v>
      </c>
      <c r="Q78" s="45" t="str">
        <f>+'rates, dates, etc'!AG4</f>
        <v>FY2027</v>
      </c>
      <c r="R78" s="45" t="str">
        <f>+'rates, dates, etc'!AH4</f>
        <v>FY2028</v>
      </c>
      <c r="S78" s="45" t="str">
        <f>+'rates, dates, etc'!AI4</f>
        <v>FY2029</v>
      </c>
      <c r="T78" s="45" t="str">
        <f>+'rates, dates, etc'!AJ4</f>
        <v>FY2030</v>
      </c>
      <c r="U78" s="45" t="str">
        <f>+'rates, dates, etc'!AK4</f>
        <v>FY2031</v>
      </c>
      <c r="V78" s="45" t="str">
        <f>+'rates, dates, etc'!AL4</f>
        <v>FY2032</v>
      </c>
      <c r="W78" s="45" t="str">
        <f>+'rates, dates, etc'!AM4</f>
        <v>FY2033</v>
      </c>
      <c r="X78" s="45" t="str">
        <f>+'rates, dates, etc'!AN4</f>
        <v>FY2034</v>
      </c>
      <c r="Y78" s="45" t="str">
        <f>+'rates, dates, etc'!AO4</f>
        <v>FY2035</v>
      </c>
      <c r="Z78" s="45" t="str">
        <f>+'rates, dates, etc'!AP4</f>
        <v>FY2036</v>
      </c>
      <c r="AA78" s="45"/>
    </row>
    <row r="79" spans="2:27" x14ac:dyDescent="0.2">
      <c r="N79" s="2" t="str">
        <f>+'rates, dates, etc'!A119</f>
        <v xml:space="preserve">   Endowed - Senior Personnel</v>
      </c>
      <c r="O79" s="123">
        <f>+'rates, dates, etc'!B119</f>
        <v>0.35</v>
      </c>
      <c r="P79" s="123">
        <f>+'rates, dates, etc'!C119</f>
        <v>0.35</v>
      </c>
      <c r="Q79" s="123">
        <f>+'rates, dates, etc'!D119</f>
        <v>0.35499999999999998</v>
      </c>
      <c r="R79" s="123">
        <f>+'rates, dates, etc'!E119</f>
        <v>0.37</v>
      </c>
      <c r="S79" s="123">
        <f>+'rates, dates, etc'!F119</f>
        <v>0.37</v>
      </c>
      <c r="T79" s="123">
        <f>+'rates, dates, etc'!G119</f>
        <v>0.37</v>
      </c>
      <c r="U79" s="123">
        <f>+'rates, dates, etc'!H119</f>
        <v>0.37</v>
      </c>
      <c r="V79" s="123">
        <f>+'rates, dates, etc'!I119</f>
        <v>0.37</v>
      </c>
      <c r="W79" s="123">
        <f>+'rates, dates, etc'!J119</f>
        <v>0.37</v>
      </c>
      <c r="X79" s="123">
        <f>+'rates, dates, etc'!K119</f>
        <v>0.37</v>
      </c>
      <c r="Y79" s="123">
        <f>+'rates, dates, etc'!L119</f>
        <v>0.37</v>
      </c>
      <c r="Z79" s="123">
        <f>+'rates, dates, etc'!M119</f>
        <v>0.37</v>
      </c>
      <c r="AA79" s="123"/>
    </row>
    <row r="80" spans="2:27" x14ac:dyDescent="0.2">
      <c r="N80" s="2" t="str">
        <f>+'rates, dates, etc'!A120</f>
        <v xml:space="preserve">   Endowed - Post Doc</v>
      </c>
      <c r="O80" s="1">
        <f>+'rates, dates, etc'!B120</f>
        <v>0.35</v>
      </c>
      <c r="P80" s="1">
        <f>+'rates, dates, etc'!C120</f>
        <v>0.35</v>
      </c>
      <c r="Q80" s="1">
        <f>+'rates, dates, etc'!D120</f>
        <v>0.35499999999999998</v>
      </c>
      <c r="R80" s="1">
        <f>+'rates, dates, etc'!E120</f>
        <v>0.37</v>
      </c>
      <c r="S80" s="1">
        <f>+'rates, dates, etc'!F120</f>
        <v>0.37</v>
      </c>
      <c r="T80" s="1">
        <f>+'rates, dates, etc'!G120</f>
        <v>0.37</v>
      </c>
      <c r="U80" s="1">
        <f>+'rates, dates, etc'!H120</f>
        <v>0.37</v>
      </c>
      <c r="V80" s="1">
        <f>+'rates, dates, etc'!I120</f>
        <v>0.37</v>
      </c>
      <c r="W80" s="1">
        <f>+'rates, dates, etc'!J120</f>
        <v>0.37</v>
      </c>
      <c r="X80" s="1">
        <f>+'rates, dates, etc'!K120</f>
        <v>0.37</v>
      </c>
      <c r="Y80" s="1">
        <f>+'rates, dates, etc'!L120</f>
        <v>0.37</v>
      </c>
      <c r="Z80" s="1">
        <f>+'rates, dates, etc'!M120</f>
        <v>0.37</v>
      </c>
    </row>
    <row r="81" spans="14:26" x14ac:dyDescent="0.2">
      <c r="N81" s="2" t="str">
        <f>+'rates, dates, etc'!A121</f>
        <v xml:space="preserve">   Endowed - Other Employee</v>
      </c>
      <c r="O81" s="1">
        <f>+'rates, dates, etc'!B121</f>
        <v>0.35</v>
      </c>
      <c r="P81" s="1">
        <f>+'rates, dates, etc'!C121</f>
        <v>0.35</v>
      </c>
      <c r="Q81" s="1">
        <f>+'rates, dates, etc'!D121</f>
        <v>0.35499999999999998</v>
      </c>
      <c r="R81" s="1">
        <f>+'rates, dates, etc'!E121</f>
        <v>0.37</v>
      </c>
      <c r="S81" s="1">
        <f>+'rates, dates, etc'!F121</f>
        <v>0.37</v>
      </c>
      <c r="T81" s="1">
        <f>+'rates, dates, etc'!G121</f>
        <v>0.37</v>
      </c>
      <c r="U81" s="1">
        <f>+'rates, dates, etc'!H121</f>
        <v>0.37</v>
      </c>
      <c r="V81" s="1">
        <f>+'rates, dates, etc'!I121</f>
        <v>0.37</v>
      </c>
      <c r="W81" s="1">
        <f>+'rates, dates, etc'!J121</f>
        <v>0.37</v>
      </c>
      <c r="X81" s="1">
        <f>+'rates, dates, etc'!K121</f>
        <v>0.37</v>
      </c>
      <c r="Y81" s="1">
        <f>+'rates, dates, etc'!L121</f>
        <v>0.37</v>
      </c>
      <c r="Z81" s="1">
        <f>+'rates, dates, etc'!M121</f>
        <v>0.37</v>
      </c>
    </row>
    <row r="83" spans="14:26" x14ac:dyDescent="0.2">
      <c r="N83" s="64" t="str">
        <f>+'rates, dates, etc'!A42</f>
        <v/>
      </c>
      <c r="O83" s="1" t="str">
        <f>+'rates, dates, etc'!B42</f>
        <v/>
      </c>
      <c r="P83" s="1" t="str">
        <f>+'rates, dates, etc'!C42</f>
        <v/>
      </c>
      <c r="Q83" s="1" t="str">
        <f>+'rates, dates, etc'!D42</f>
        <v/>
      </c>
      <c r="R83" s="1" t="str">
        <f>+'rates, dates, etc'!E42</f>
        <v/>
      </c>
      <c r="S83" s="1" t="str">
        <f>+'rates, dates, etc'!F42</f>
        <v/>
      </c>
      <c r="T83" s="1" t="str">
        <f>+'rates, dates, etc'!G42</f>
        <v/>
      </c>
      <c r="U83" s="1" t="str">
        <f>+'rates, dates, etc'!H42</f>
        <v/>
      </c>
      <c r="V83" s="1" t="str">
        <f>+'rates, dates, etc'!I42</f>
        <v/>
      </c>
      <c r="W83" s="1" t="str">
        <f>+'rates, dates, etc'!J42</f>
        <v/>
      </c>
      <c r="X83" s="1" t="str">
        <f>+'rates, dates, etc'!K42</f>
        <v/>
      </c>
      <c r="Y83" s="1" t="str">
        <f>+'rates, dates, etc'!L42</f>
        <v/>
      </c>
      <c r="Z83" s="1" t="str">
        <f>+'rates, dates, etc'!M42</f>
        <v/>
      </c>
    </row>
    <row r="84" spans="14:26" x14ac:dyDescent="0.2">
      <c r="N84" s="64" t="str">
        <f>+'rates, dates, etc'!A122</f>
        <v>Cornell IDC Rate - Endowed College</v>
      </c>
      <c r="O84" s="1">
        <f>+'rates, dates, etc'!B122</f>
        <v>0.64</v>
      </c>
      <c r="P84" s="1">
        <f>+'rates, dates, etc'!C122</f>
        <v>0.64</v>
      </c>
      <c r="Q84" s="1">
        <f>+'rates, dates, etc'!D122</f>
        <v>0.64</v>
      </c>
      <c r="R84" s="1">
        <f>+'rates, dates, etc'!E122</f>
        <v>0.64</v>
      </c>
      <c r="S84" s="1">
        <f>+'rates, dates, etc'!F122</f>
        <v>0.64</v>
      </c>
      <c r="T84" s="1">
        <f>+'rates, dates, etc'!G122</f>
        <v>0.64</v>
      </c>
      <c r="U84" s="1">
        <f>+'rates, dates, etc'!H122</f>
        <v>0.64</v>
      </c>
      <c r="V84" s="1">
        <f>+'rates, dates, etc'!I122</f>
        <v>0.64</v>
      </c>
      <c r="W84" s="1">
        <f>+'rates, dates, etc'!J122</f>
        <v>0.64</v>
      </c>
      <c r="X84" s="1">
        <f>+'rates, dates, etc'!K122</f>
        <v>0.64</v>
      </c>
      <c r="Y84" s="1">
        <f>+'rates, dates, etc'!L122</f>
        <v>0.64</v>
      </c>
      <c r="Z84" s="1">
        <f>+'rates, dates, etc'!M122</f>
        <v>0.64</v>
      </c>
    </row>
    <row r="85" spans="14:26" x14ac:dyDescent="0.2">
      <c r="S85" s="5"/>
      <c r="T85" s="5"/>
    </row>
    <row r="86" spans="14:26" x14ac:dyDescent="0.2">
      <c r="N86" s="47" t="str">
        <f>+'rates, dates, etc'!O40</f>
        <v>Pro-rating factor for 12 month appts.:</v>
      </c>
      <c r="O86" s="9" t="s">
        <v>36</v>
      </c>
      <c r="P86" s="9" t="s">
        <v>52</v>
      </c>
      <c r="S86" s="5"/>
      <c r="T86" s="5"/>
    </row>
    <row r="87" spans="14:26" x14ac:dyDescent="0.2">
      <c r="N87" s="48" t="s">
        <v>46</v>
      </c>
      <c r="O87" s="44">
        <f>+'rates, dates, etc'!P41</f>
        <v>6</v>
      </c>
      <c r="P87" s="44">
        <f>+'rates, dates, etc'!Q41</f>
        <v>0.5</v>
      </c>
      <c r="S87" s="5"/>
      <c r="T87" s="5"/>
    </row>
    <row r="88" spans="14:26" x14ac:dyDescent="0.2">
      <c r="N88" s="48" t="s">
        <v>47</v>
      </c>
      <c r="O88" s="44">
        <f>+'rates, dates, etc'!P42</f>
        <v>6</v>
      </c>
      <c r="P88" s="44">
        <f>+'rates, dates, etc'!Q42</f>
        <v>0.5</v>
      </c>
    </row>
    <row r="89" spans="14:26" x14ac:dyDescent="0.2">
      <c r="N89" s="46"/>
      <c r="O89" s="49">
        <f>SUM(O87:O88)</f>
        <v>12</v>
      </c>
      <c r="P89" s="1" t="s">
        <v>83</v>
      </c>
    </row>
    <row r="90" spans="14:26" x14ac:dyDescent="0.2">
      <c r="N90" s="1"/>
      <c r="O90" s="1"/>
      <c r="P90" s="1"/>
    </row>
  </sheetData>
  <pageMargins left="0.75" right="0.53" top="0.7" bottom="0.64" header="0.5" footer="0.5"/>
  <pageSetup scale="95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6B440B89-410C-481B-BEAD-B243AAC2B3FD}">
            <xm:f>'rates, dates, etc'!$B$8="Yes"</xm:f>
            <x14:dxf/>
          </x14:cfRule>
          <x14:cfRule type="expression" priority="6" id="{7C37CCD2-C41A-4B7D-9F57-C13AFBAD466B}">
            <xm:f>'Budget Summary'!$L$103&lt;'Budget Summary'!$L$104</xm:f>
            <x14:dxf>
              <font>
                <color rgb="FFFF0000"/>
              </font>
            </x14:dxf>
          </x14:cfRule>
          <xm:sqref>A61:L61</xm:sqref>
        </x14:conditionalFormatting>
        <x14:conditionalFormatting xmlns:xm="http://schemas.microsoft.com/office/excel/2006/main">
          <x14:cfRule type="expression" priority="3" stopIfTrue="1" id="{F3A6CC4F-D7CD-4220-8970-4CE0F39D3DD5}">
            <xm:f>'rates, dates, etc'!$B$8="Yes"</xm:f>
            <x14:dxf>
              <font>
                <color rgb="FFFF0000"/>
              </font>
            </x14:dxf>
          </x14:cfRule>
          <x14:cfRule type="expression" priority="4" id="{091605FD-3225-4CEE-9051-D96562D00C78}">
            <xm:f>'Budget Summary'!$L$104&lt;'Budget Summary'!$L$103</xm:f>
            <x14:dxf>
              <font>
                <color rgb="FFFF0000"/>
              </font>
            </x14:dxf>
          </x14:cfRule>
          <xm:sqref>A62:L62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Z95"/>
  <sheetViews>
    <sheetView topLeftCell="A21" zoomScale="130" zoomScaleNormal="130" workbookViewId="0">
      <selection activeCell="A47" sqref="A47"/>
    </sheetView>
  </sheetViews>
  <sheetFormatPr defaultColWidth="9.140625" defaultRowHeight="11.25" x14ac:dyDescent="0.2"/>
  <cols>
    <col min="1" max="1" width="33.42578125" style="1" customWidth="1"/>
    <col min="2" max="11" width="8.42578125" style="1" customWidth="1"/>
    <col min="12" max="12" width="9.5703125" style="2" bestFit="1" customWidth="1"/>
    <col min="13" max="13" width="11" style="2" customWidth="1"/>
    <col min="14" max="14" width="29.140625" style="2" customWidth="1"/>
    <col min="15" max="16" width="9.85546875" style="2" customWidth="1"/>
    <col min="17" max="18" width="9.7109375" style="1" customWidth="1"/>
    <col min="19" max="16384" width="9.140625" style="1"/>
  </cols>
  <sheetData>
    <row r="1" spans="1:13" ht="12.75" x14ac:dyDescent="0.2">
      <c r="A1" s="67">
        <f>+'rates, dates, etc'!B4</f>
        <v>0</v>
      </c>
      <c r="D1" s="56"/>
    </row>
    <row r="2" spans="1:13" ht="12.75" x14ac:dyDescent="0.2">
      <c r="A2" s="67" t="str">
        <f>+'rates, dates, etc'!B3</f>
        <v>NSF</v>
      </c>
      <c r="M2" s="56"/>
    </row>
    <row r="3" spans="1:13" ht="12.75" customHeight="1" thickBot="1" x14ac:dyDescent="0.25"/>
    <row r="4" spans="1:13" x14ac:dyDescent="0.2">
      <c r="A4" s="68" t="str">
        <f ca="1">CONCATENATE("Cornell University - ",'rates, dates, etc'!A16)</f>
        <v>Cornell University - Co-PI Budget (2)</v>
      </c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263"/>
    </row>
    <row r="5" spans="1:13" ht="12" thickBot="1" x14ac:dyDescent="0.25">
      <c r="A5" s="68" t="str">
        <f>CONCATENATE("Co-PI: ",'rates, dates, etc'!B16)</f>
        <v>Co-PI: Co-PI</v>
      </c>
      <c r="B5" s="243">
        <f>+'rates, dates, etc'!B5</f>
        <v>45658</v>
      </c>
      <c r="C5" s="243">
        <f>+B6+1</f>
        <v>46023</v>
      </c>
      <c r="D5" s="243">
        <f t="shared" ref="D5:G5" si="0">+C6+1</f>
        <v>46388</v>
      </c>
      <c r="E5" s="243">
        <f t="shared" si="0"/>
        <v>46753</v>
      </c>
      <c r="F5" s="243">
        <f t="shared" si="0"/>
        <v>47119</v>
      </c>
      <c r="G5" s="243">
        <f t="shared" si="0"/>
        <v>47484</v>
      </c>
      <c r="H5" s="243">
        <f t="shared" ref="H5" si="1">+G6+1</f>
        <v>47849</v>
      </c>
      <c r="I5" s="243">
        <f t="shared" ref="I5" si="2">+H6+1</f>
        <v>48214</v>
      </c>
      <c r="J5" s="243">
        <f t="shared" ref="J5" si="3">+I6+1</f>
        <v>48580</v>
      </c>
      <c r="K5" s="243">
        <f t="shared" ref="K5" si="4">+J6+1</f>
        <v>48945</v>
      </c>
      <c r="L5" s="244"/>
    </row>
    <row r="6" spans="1:13" ht="12" thickBot="1" x14ac:dyDescent="0.25">
      <c r="A6" s="71" t="s">
        <v>4</v>
      </c>
      <c r="B6" s="245">
        <f>DATE(YEAR(B5), MONTH(B5) + 12, DAY(B5))-1</f>
        <v>46022</v>
      </c>
      <c r="C6" s="245">
        <f t="shared" ref="C6:G6" si="5">DATE(YEAR(C5), MONTH(C5) + 12, DAY(C5))-1</f>
        <v>46387</v>
      </c>
      <c r="D6" s="245">
        <f t="shared" si="5"/>
        <v>46752</v>
      </c>
      <c r="E6" s="245">
        <f t="shared" si="5"/>
        <v>47118</v>
      </c>
      <c r="F6" s="245">
        <f t="shared" si="5"/>
        <v>47483</v>
      </c>
      <c r="G6" s="245">
        <f t="shared" si="5"/>
        <v>47848</v>
      </c>
      <c r="H6" s="245">
        <f t="shared" ref="H6:K6" si="6">DATE(YEAR(H5), MONTH(H5) + 12, DAY(H5))-1</f>
        <v>48213</v>
      </c>
      <c r="I6" s="245">
        <f t="shared" si="6"/>
        <v>48579</v>
      </c>
      <c r="J6" s="245">
        <f t="shared" si="6"/>
        <v>48944</v>
      </c>
      <c r="K6" s="245">
        <f t="shared" si="6"/>
        <v>49309</v>
      </c>
      <c r="L6" s="262" t="s">
        <v>5</v>
      </c>
    </row>
    <row r="7" spans="1:13" x14ac:dyDescent="0.2">
      <c r="A7" s="74" t="s">
        <v>111</v>
      </c>
      <c r="L7" s="8" t="s">
        <v>6</v>
      </c>
    </row>
    <row r="8" spans="1:13" x14ac:dyDescent="0.2">
      <c r="A8" s="3" t="str">
        <f>+'rates, dates, etc'!A210</f>
        <v>Co-PI</v>
      </c>
      <c r="B8" s="17">
        <f>HLOOKUP(B$4,'rates, dates, etc'!B209:I215,7,FALSE)</f>
        <v>0</v>
      </c>
      <c r="C8" s="17">
        <f>HLOOKUP(C$4,'rates, dates, etc'!C209:O215,7,FALSE)</f>
        <v>0</v>
      </c>
      <c r="D8" s="17">
        <f>HLOOKUP(D$4,'rates, dates, etc'!D209:P215,7,FALSE)</f>
        <v>0</v>
      </c>
      <c r="E8" s="17">
        <f>HLOOKUP(E$4,'rates, dates, etc'!E209:Q215,7,FALSE)</f>
        <v>0</v>
      </c>
      <c r="F8" s="17">
        <f>HLOOKUP(F$4,'rates, dates, etc'!F209:R215,7,FALSE)</f>
        <v>0</v>
      </c>
      <c r="G8" s="17">
        <f>HLOOKUP(G$4,'rates, dates, etc'!G209:S215,7,FALSE)</f>
        <v>0</v>
      </c>
      <c r="H8" s="17">
        <f>HLOOKUP(H$4,'rates, dates, etc'!H209:T215,7,FALSE)</f>
        <v>0</v>
      </c>
      <c r="I8" s="17">
        <f>HLOOKUP(I$4,'rates, dates, etc'!I209:U215,7,FALSE)</f>
        <v>0</v>
      </c>
      <c r="J8" s="17">
        <f>HLOOKUP(J$4,'rates, dates, etc'!J209:V215,7,FALSE)</f>
        <v>0</v>
      </c>
      <c r="K8" s="17">
        <f>HLOOKUP(K$4,'rates, dates, etc'!K209:W215,7,FALSE)</f>
        <v>0</v>
      </c>
      <c r="L8" s="83">
        <f>SUM(B8:K8)</f>
        <v>0</v>
      </c>
    </row>
    <row r="9" spans="1:13" x14ac:dyDescent="0.2">
      <c r="A9" s="3" t="str">
        <f>+'rates, dates, etc'!A218</f>
        <v>Co-PI</v>
      </c>
      <c r="B9" s="17">
        <f>HLOOKUP(B$4,'rates, dates, etc'!B217:I223,7,FALSE)</f>
        <v>0</v>
      </c>
      <c r="C9" s="17">
        <f>HLOOKUP(C$4,'rates, dates, etc'!C217:O223,7,FALSE)</f>
        <v>0</v>
      </c>
      <c r="D9" s="17">
        <f>HLOOKUP(D$4,'rates, dates, etc'!D217:P223,7,FALSE)</f>
        <v>0</v>
      </c>
      <c r="E9" s="17">
        <f>HLOOKUP(E$4,'rates, dates, etc'!E217:Q223,7,FALSE)</f>
        <v>0</v>
      </c>
      <c r="F9" s="17">
        <f>HLOOKUP(F$4,'rates, dates, etc'!F217:R223,7,FALSE)</f>
        <v>0</v>
      </c>
      <c r="G9" s="17">
        <f>HLOOKUP(G$4,'rates, dates, etc'!G217:S223,7,FALSE)</f>
        <v>0</v>
      </c>
      <c r="H9" s="17">
        <f>HLOOKUP(H$4,'rates, dates, etc'!H217:T223,7,FALSE)</f>
        <v>0</v>
      </c>
      <c r="I9" s="17">
        <f>HLOOKUP(I$4,'rates, dates, etc'!I217:U223,7,FALSE)</f>
        <v>0</v>
      </c>
      <c r="J9" s="17">
        <f>HLOOKUP(J$4,'rates, dates, etc'!J217:V223,7,FALSE)</f>
        <v>0</v>
      </c>
      <c r="K9" s="17">
        <f>HLOOKUP(K$4,'rates, dates, etc'!K217:W223,7,FALSE)</f>
        <v>0</v>
      </c>
      <c r="L9" s="83">
        <f>SUM(B9:K9)</f>
        <v>0</v>
      </c>
    </row>
    <row r="10" spans="1:13" x14ac:dyDescent="0.2">
      <c r="A10" s="3" t="str">
        <f>+'rates, dates, etc'!A226</f>
        <v>Co-PI</v>
      </c>
      <c r="B10" s="17">
        <f>HLOOKUP(B$4,'rates, dates, etc'!B225:I231,7,FALSE)</f>
        <v>0</v>
      </c>
      <c r="C10" s="17">
        <f>HLOOKUP(C$4,'rates, dates, etc'!C225:O231,7,FALSE)</f>
        <v>0</v>
      </c>
      <c r="D10" s="17">
        <f>HLOOKUP(D$4,'rates, dates, etc'!D225:P231,7,FALSE)</f>
        <v>0</v>
      </c>
      <c r="E10" s="17">
        <f>HLOOKUP(E$4,'rates, dates, etc'!E225:Q231,7,FALSE)</f>
        <v>0</v>
      </c>
      <c r="F10" s="17">
        <f>HLOOKUP(F$4,'rates, dates, etc'!F225:R231,7,FALSE)</f>
        <v>0</v>
      </c>
      <c r="G10" s="17">
        <f>HLOOKUP(G$4,'rates, dates, etc'!G225:S231,7,FALSE)</f>
        <v>0</v>
      </c>
      <c r="H10" s="17">
        <f>HLOOKUP(H$4,'rates, dates, etc'!H225:T231,7,FALSE)</f>
        <v>0</v>
      </c>
      <c r="I10" s="17">
        <f>HLOOKUP(I$4,'rates, dates, etc'!I225:U231,7,FALSE)</f>
        <v>0</v>
      </c>
      <c r="J10" s="17">
        <f>HLOOKUP(J$4,'rates, dates, etc'!J225:V231,7,FALSE)</f>
        <v>0</v>
      </c>
      <c r="K10" s="17">
        <f>HLOOKUP(K$4,'rates, dates, etc'!K225:W231,7,FALSE)</f>
        <v>0</v>
      </c>
      <c r="L10" s="83">
        <f>SUM(B10:K10)</f>
        <v>0</v>
      </c>
    </row>
    <row r="11" spans="1:13" ht="12" thickBot="1" x14ac:dyDescent="0.25">
      <c r="A11" s="76" t="str">
        <f>CONCATENATE("Total ",A7)</f>
        <v>Total Senior Personnel Salary</v>
      </c>
      <c r="B11" s="6">
        <f>SUM(B7:B10)</f>
        <v>0</v>
      </c>
      <c r="C11" s="6">
        <f t="shared" ref="C11:K11" si="7">SUM(C7:C10)</f>
        <v>0</v>
      </c>
      <c r="D11" s="6">
        <f t="shared" si="7"/>
        <v>0</v>
      </c>
      <c r="E11" s="6">
        <f t="shared" si="7"/>
        <v>0</v>
      </c>
      <c r="F11" s="6">
        <f t="shared" si="7"/>
        <v>0</v>
      </c>
      <c r="G11" s="6">
        <f t="shared" si="7"/>
        <v>0</v>
      </c>
      <c r="H11" s="6">
        <f t="shared" si="7"/>
        <v>0</v>
      </c>
      <c r="I11" s="6">
        <f t="shared" si="7"/>
        <v>0</v>
      </c>
      <c r="J11" s="6">
        <f t="shared" si="7"/>
        <v>0</v>
      </c>
      <c r="K11" s="6">
        <f t="shared" si="7"/>
        <v>0</v>
      </c>
      <c r="L11" s="86">
        <f>SUM(L7:L10)</f>
        <v>0</v>
      </c>
    </row>
    <row r="12" spans="1:13" x14ac:dyDescent="0.2">
      <c r="A12" s="75" t="s">
        <v>112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83"/>
    </row>
    <row r="13" spans="1:13" x14ac:dyDescent="0.2">
      <c r="A13" s="3" t="str">
        <f>+'rates, dates, etc'!A234</f>
        <v>Post Doctoral Scholar(s)</v>
      </c>
      <c r="B13" s="5">
        <f>HLOOKUP(B$4,'rates, dates, etc'!B233:I238,6,FALSE)</f>
        <v>0</v>
      </c>
      <c r="C13" s="5">
        <f>HLOOKUP(C$4,'rates, dates, etc'!C233:O238,6,FALSE)</f>
        <v>0</v>
      </c>
      <c r="D13" s="5">
        <f>HLOOKUP(D$4,'rates, dates, etc'!D233:P238,6,FALSE)</f>
        <v>0</v>
      </c>
      <c r="E13" s="5">
        <f>HLOOKUP(E$4,'rates, dates, etc'!E233:Q238,6,FALSE)</f>
        <v>0</v>
      </c>
      <c r="F13" s="5">
        <f>HLOOKUP(F$4,'rates, dates, etc'!F233:R238,6,FALSE)</f>
        <v>0</v>
      </c>
      <c r="G13" s="5">
        <f>HLOOKUP(G$4,'rates, dates, etc'!G233:S238,6,FALSE)</f>
        <v>0</v>
      </c>
      <c r="H13" s="5">
        <f>HLOOKUP(H$4,'rates, dates, etc'!H233:T238,6,FALSE)</f>
        <v>0</v>
      </c>
      <c r="I13" s="5">
        <f>HLOOKUP(I$4,'rates, dates, etc'!I233:U238,6,FALSE)</f>
        <v>0</v>
      </c>
      <c r="J13" s="5">
        <f>HLOOKUP(J$4,'rates, dates, etc'!J233:V238,6,FALSE)</f>
        <v>0</v>
      </c>
      <c r="K13" s="5">
        <f>HLOOKUP(K$4,'rates, dates, etc'!K233:W238,6,FALSE)</f>
        <v>0</v>
      </c>
      <c r="L13" s="83">
        <f>SUM(B13:K13)</f>
        <v>0</v>
      </c>
    </row>
    <row r="14" spans="1:13" x14ac:dyDescent="0.2">
      <c r="A14" s="3" t="str">
        <f>+'rates, dates, etc'!A241</f>
        <v>Other Professional(s) (Technicians, etc)</v>
      </c>
      <c r="B14" s="5">
        <f>HLOOKUP(B$4,'rates, dates, etc'!B240:I245,6,FALSE)</f>
        <v>0</v>
      </c>
      <c r="C14" s="5">
        <f>HLOOKUP(C$4,'rates, dates, etc'!C240:O245,6,FALSE)</f>
        <v>0</v>
      </c>
      <c r="D14" s="5">
        <f>HLOOKUP(D$4,'rates, dates, etc'!D240:P245,6,FALSE)</f>
        <v>0</v>
      </c>
      <c r="E14" s="5">
        <f>HLOOKUP(E$4,'rates, dates, etc'!E240:Q245,6,FALSE)</f>
        <v>0</v>
      </c>
      <c r="F14" s="5">
        <f>HLOOKUP(F$4,'rates, dates, etc'!F240:R245,6,FALSE)</f>
        <v>0</v>
      </c>
      <c r="G14" s="5">
        <f>HLOOKUP(G$4,'rates, dates, etc'!G240:S245,6,FALSE)</f>
        <v>0</v>
      </c>
      <c r="H14" s="5">
        <f>HLOOKUP(H$4,'rates, dates, etc'!H240:T245,6,FALSE)</f>
        <v>0</v>
      </c>
      <c r="I14" s="5">
        <f>HLOOKUP(I$4,'rates, dates, etc'!I240:U245,6,FALSE)</f>
        <v>0</v>
      </c>
      <c r="J14" s="5">
        <f>HLOOKUP(J$4,'rates, dates, etc'!J240:V245,6,FALSE)</f>
        <v>0</v>
      </c>
      <c r="K14" s="5">
        <f>HLOOKUP(K$4,'rates, dates, etc'!K240:W245,6,FALSE)</f>
        <v>0</v>
      </c>
      <c r="L14" s="83">
        <f t="shared" ref="L14:L18" si="8">SUM(B14:K14)</f>
        <v>0</v>
      </c>
    </row>
    <row r="15" spans="1:13" x14ac:dyDescent="0.2">
      <c r="A15" s="3" t="str">
        <f>+'rates, dates, etc'!A247</f>
        <v>Graduate Student(s)</v>
      </c>
      <c r="B15" s="5">
        <f>O68+O69</f>
        <v>0</v>
      </c>
      <c r="C15" s="5">
        <f t="shared" ref="C15:F15" si="9">P68+P69</f>
        <v>0</v>
      </c>
      <c r="D15" s="5">
        <f t="shared" si="9"/>
        <v>0</v>
      </c>
      <c r="E15" s="5">
        <f t="shared" si="9"/>
        <v>0</v>
      </c>
      <c r="F15" s="5">
        <f t="shared" si="9"/>
        <v>0</v>
      </c>
      <c r="G15" s="5">
        <f t="shared" ref="G15" si="10">T68+T69</f>
        <v>0</v>
      </c>
      <c r="H15" s="5">
        <f t="shared" ref="H15" si="11">U68+U69</f>
        <v>0</v>
      </c>
      <c r="I15" s="5">
        <f t="shared" ref="I15" si="12">V68+V69</f>
        <v>0</v>
      </c>
      <c r="J15" s="5">
        <f t="shared" ref="J15" si="13">W68+W69</f>
        <v>0</v>
      </c>
      <c r="K15" s="5">
        <f t="shared" ref="K15" si="14">X68+X69</f>
        <v>0</v>
      </c>
      <c r="L15" s="83">
        <f t="shared" si="8"/>
        <v>0</v>
      </c>
    </row>
    <row r="16" spans="1:13" x14ac:dyDescent="0.2">
      <c r="A16" s="3" t="str">
        <f>+'rates, dates, etc'!A252</f>
        <v>Undergraduate Student(s)</v>
      </c>
      <c r="B16" s="5">
        <f>+'rates, dates, etc'!B260</f>
        <v>0</v>
      </c>
      <c r="C16" s="5">
        <f>+'rates, dates, etc'!C260</f>
        <v>0</v>
      </c>
      <c r="D16" s="5">
        <f>+'rates, dates, etc'!D260</f>
        <v>0</v>
      </c>
      <c r="E16" s="5">
        <f>+'rates, dates, etc'!E260</f>
        <v>0</v>
      </c>
      <c r="F16" s="5">
        <f>+'rates, dates, etc'!F260</f>
        <v>0</v>
      </c>
      <c r="G16" s="5">
        <f>+'rates, dates, etc'!G260</f>
        <v>0</v>
      </c>
      <c r="H16" s="5">
        <f>+'rates, dates, etc'!H260</f>
        <v>0</v>
      </c>
      <c r="I16" s="5">
        <f>+'rates, dates, etc'!I260</f>
        <v>0</v>
      </c>
      <c r="J16" s="5">
        <f>+'rates, dates, etc'!J260</f>
        <v>0</v>
      </c>
      <c r="K16" s="5">
        <f>+'rates, dates, etc'!K260</f>
        <v>0</v>
      </c>
      <c r="L16" s="83">
        <f t="shared" si="8"/>
        <v>0</v>
      </c>
    </row>
    <row r="17" spans="1:12" x14ac:dyDescent="0.2">
      <c r="A17" s="3" t="str">
        <f>+'rates, dates, etc'!A263</f>
        <v>Other</v>
      </c>
      <c r="B17" s="5">
        <f>HLOOKUP(B$4,'rates, dates, etc'!B262:I267,6,FALSE)</f>
        <v>0</v>
      </c>
      <c r="C17" s="5">
        <f>HLOOKUP(C$4,'rates, dates, etc'!C262:O267,6,FALSE)</f>
        <v>0</v>
      </c>
      <c r="D17" s="5">
        <f>HLOOKUP(D$4,'rates, dates, etc'!D262:P267,6,FALSE)</f>
        <v>0</v>
      </c>
      <c r="E17" s="5">
        <f>HLOOKUP(E$4,'rates, dates, etc'!E262:Q267,6,FALSE)</f>
        <v>0</v>
      </c>
      <c r="F17" s="5">
        <f>HLOOKUP(F$4,'rates, dates, etc'!F262:R267,6,FALSE)</f>
        <v>0</v>
      </c>
      <c r="G17" s="5">
        <f>HLOOKUP(G$4,'rates, dates, etc'!G262:S267,6,FALSE)</f>
        <v>0</v>
      </c>
      <c r="H17" s="5">
        <f>HLOOKUP(H$4,'rates, dates, etc'!H262:T267,6,FALSE)</f>
        <v>0</v>
      </c>
      <c r="I17" s="5">
        <f>HLOOKUP(I$4,'rates, dates, etc'!I262:U267,6,FALSE)</f>
        <v>0</v>
      </c>
      <c r="J17" s="5">
        <f>HLOOKUP(J$4,'rates, dates, etc'!J262:V267,6,FALSE)</f>
        <v>0</v>
      </c>
      <c r="K17" s="5">
        <f>HLOOKUP(K$4,'rates, dates, etc'!K262:W267,6,FALSE)</f>
        <v>0</v>
      </c>
      <c r="L17" s="83">
        <f t="shared" si="8"/>
        <v>0</v>
      </c>
    </row>
    <row r="18" spans="1:12" x14ac:dyDescent="0.2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83">
        <f t="shared" si="8"/>
        <v>0</v>
      </c>
    </row>
    <row r="19" spans="1:12" ht="12" thickBot="1" x14ac:dyDescent="0.25">
      <c r="A19" s="76" t="str">
        <f>CONCATENATE("Total ",A12)</f>
        <v>Total Other Personnel Salary</v>
      </c>
      <c r="B19" s="6">
        <f>SUM(B12:B18)</f>
        <v>0</v>
      </c>
      <c r="C19" s="6">
        <f>SUM(C12:C18)</f>
        <v>0</v>
      </c>
      <c r="D19" s="6">
        <f t="shared" ref="D19:K19" si="15">SUM(D12:D18)</f>
        <v>0</v>
      </c>
      <c r="E19" s="6">
        <f>SUM(E12:E18)</f>
        <v>0</v>
      </c>
      <c r="F19" s="6">
        <f t="shared" si="15"/>
        <v>0</v>
      </c>
      <c r="G19" s="6">
        <f t="shared" si="15"/>
        <v>0</v>
      </c>
      <c r="H19" s="6">
        <f t="shared" si="15"/>
        <v>0</v>
      </c>
      <c r="I19" s="6">
        <f t="shared" si="15"/>
        <v>0</v>
      </c>
      <c r="J19" s="6">
        <f t="shared" si="15"/>
        <v>0</v>
      </c>
      <c r="K19" s="6">
        <f t="shared" si="15"/>
        <v>0</v>
      </c>
      <c r="L19" s="86">
        <f>SUM(L12:L18)</f>
        <v>0</v>
      </c>
    </row>
    <row r="20" spans="1:12" x14ac:dyDescent="0.2">
      <c r="A20" s="77" t="s">
        <v>7</v>
      </c>
      <c r="B20" s="17" t="s">
        <v>6</v>
      </c>
      <c r="C20" s="17"/>
      <c r="D20" s="17"/>
      <c r="E20" s="17"/>
      <c r="F20" s="17"/>
      <c r="G20" s="17"/>
      <c r="H20" s="17"/>
      <c r="I20" s="17"/>
      <c r="J20" s="17"/>
      <c r="K20" s="17"/>
      <c r="L20" s="83"/>
    </row>
    <row r="21" spans="1:12" x14ac:dyDescent="0.2">
      <c r="A21" s="3" t="str">
        <f>+A8</f>
        <v>Co-PI</v>
      </c>
      <c r="B21" s="17">
        <f>IF('rates, dates, etc'!$O211=9,ROUND((+B8*O$78),0),ROUND((+B8*O$81*$P$89)+(B8*P$81*$P$90),0))</f>
        <v>0</v>
      </c>
      <c r="C21" s="17">
        <f>IF('rates, dates, etc'!$O211=9,ROUND((+C8*P$78),0),ROUND((+C8*P$81*$P$89)+(C8*Q$81*$P$90),0))</f>
        <v>0</v>
      </c>
      <c r="D21" s="17">
        <f>IF('rates, dates, etc'!$O211=9,ROUND((+D8*Q$78),0),ROUND((+D8*Q$81*$P$89)+(D8*R$81*$P$90),0))</f>
        <v>0</v>
      </c>
      <c r="E21" s="17">
        <f>IF('rates, dates, etc'!$O211=9,ROUND((+E8*R$78),0),ROUND((+E8*R$81*$P$89)+(E8*S$81*$P$90),0))</f>
        <v>0</v>
      </c>
      <c r="F21" s="17">
        <f>IF('rates, dates, etc'!$O211=9,ROUND((+F8*S$78),0),ROUND((+F8*S$81*$P$89)+(F8*T$81*$P$90),0))</f>
        <v>0</v>
      </c>
      <c r="G21" s="17">
        <f>IF('rates, dates, etc'!$O211=9,ROUND((+G8*T$78),0),ROUND((+G8*T$81*$P$89)+(G8*U$81*$P$90),0))</f>
        <v>0</v>
      </c>
      <c r="H21" s="17">
        <f>IF('rates, dates, etc'!$O211=9,ROUND((+H8*U$78),0),ROUND((+H8*U$81*$P$89)+(H8*V$81*$P$90),0))</f>
        <v>0</v>
      </c>
      <c r="I21" s="17">
        <f>IF('rates, dates, etc'!$O211=9,ROUND((+I8*V$78),0),ROUND((+I8*V$81*$P$89)+(I8*W$81*$P$90),0))</f>
        <v>0</v>
      </c>
      <c r="J21" s="17">
        <f>IF('rates, dates, etc'!$O211=9,ROUND((+J8*W$78),0),ROUND((+J8*W$81*$P$89)+(J8*X$81*$P$90),0))</f>
        <v>0</v>
      </c>
      <c r="K21" s="17">
        <f>IF('rates, dates, etc'!$O211=9,ROUND((+K8*X$78),0),ROUND((+K8*X$81*$P$89)+(K8*Y$81*$P$90),0))</f>
        <v>0</v>
      </c>
      <c r="L21" s="83">
        <f>SUM(B21:K21)</f>
        <v>0</v>
      </c>
    </row>
    <row r="22" spans="1:12" x14ac:dyDescent="0.2">
      <c r="A22" s="3" t="str">
        <f>+A9</f>
        <v>Co-PI</v>
      </c>
      <c r="B22" s="17">
        <f>IF('rates, dates, etc'!$O219=9,ROUND((+B9*O$78),0),ROUND((+B9*O$81*$P$89)+(B9*P$81*$P$90),0))</f>
        <v>0</v>
      </c>
      <c r="C22" s="17">
        <f>IF('rates, dates, etc'!$O219=9,ROUND((+C9*P$78),0),ROUND((+C9*P$81*$P$89)+(C9*Q$81*$P$90),0))</f>
        <v>0</v>
      </c>
      <c r="D22" s="17">
        <f>IF('rates, dates, etc'!$O219=9,ROUND((+D9*Q$78),0),ROUND((+D9*Q$81*$P$89)+(D9*R$81*$P$90),0))</f>
        <v>0</v>
      </c>
      <c r="E22" s="17">
        <f>IF('rates, dates, etc'!$O219=9,ROUND((+E9*R$78),0),ROUND((+E9*R$81*$P$89)+(E9*S$81*$P$90),0))</f>
        <v>0</v>
      </c>
      <c r="F22" s="17">
        <f>IF('rates, dates, etc'!$O219=9,ROUND((+F9*S$78),0),ROUND((+F9*S$81*$P$89)+(F9*T$81*$P$90),0))</f>
        <v>0</v>
      </c>
      <c r="G22" s="17">
        <f>IF('rates, dates, etc'!$O219=9,ROUND((+G9*T$78),0),ROUND((+G9*T$81*$P$89)+(G9*U$81*$P$90),0))</f>
        <v>0</v>
      </c>
      <c r="H22" s="17">
        <f>IF('rates, dates, etc'!$O219=9,ROUND((+H9*U$78),0),ROUND((+H9*U$81*$P$89)+(H9*V$81*$P$90),0))</f>
        <v>0</v>
      </c>
      <c r="I22" s="17">
        <f>IF('rates, dates, etc'!$O219=9,ROUND((+I9*V$78),0),ROUND((+I9*V$81*$P$89)+(I9*W$81*$P$90),0))</f>
        <v>0</v>
      </c>
      <c r="J22" s="17">
        <f>IF('rates, dates, etc'!$O219=9,ROUND((+J9*W$78),0),ROUND((+J9*W$81*$P$89)+(J9*X$81*$P$90),0))</f>
        <v>0</v>
      </c>
      <c r="K22" s="17">
        <f>IF('rates, dates, etc'!$O219=9,ROUND((+K9*X$78),0),ROUND((+K9*X$81*$P$89)+(K9*Y$81*$P$90),0))</f>
        <v>0</v>
      </c>
      <c r="L22" s="83">
        <f t="shared" ref="L22:L26" si="16">SUM(B22:K22)</f>
        <v>0</v>
      </c>
    </row>
    <row r="23" spans="1:12" x14ac:dyDescent="0.2">
      <c r="A23" s="3" t="str">
        <f>+A10</f>
        <v>Co-PI</v>
      </c>
      <c r="B23" s="17">
        <f>IF('rates, dates, etc'!$O227=9,ROUND((+B10*O$78),0),ROUND((+B10*O$81*$P$89)+(B10*P$81*$P$90),0))</f>
        <v>0</v>
      </c>
      <c r="C23" s="17">
        <f>IF('rates, dates, etc'!$O227=9,ROUND((+C10*P$78),0),ROUND((+C10*P$81*$P$89)+(C10*Q$81*$P$90),0))</f>
        <v>0</v>
      </c>
      <c r="D23" s="17">
        <f>IF('rates, dates, etc'!$O227=9,ROUND((+D10*Q$78),0),ROUND((+D10*Q$81*$P$89)+(D10*R$81*$P$90),0))</f>
        <v>0</v>
      </c>
      <c r="E23" s="17">
        <f>IF('rates, dates, etc'!$O227=9,ROUND((+E10*R$78),0),ROUND((+E10*R$81*$P$89)+(E10*S$81*$P$90),0))</f>
        <v>0</v>
      </c>
      <c r="F23" s="17">
        <f>IF('rates, dates, etc'!$O227=9,ROUND((+F10*S$78),0),ROUND((+F10*S$81*$P$89)+(F10*T$81*$P$90),0))</f>
        <v>0</v>
      </c>
      <c r="G23" s="17">
        <f>IF('rates, dates, etc'!$O227=9,ROUND((+G10*T$78),0),ROUND((+G10*T$81*$P$89)+(G10*U$81*$P$90),0))</f>
        <v>0</v>
      </c>
      <c r="H23" s="17">
        <f>IF('rates, dates, etc'!$O227=9,ROUND((+H10*U$78),0),ROUND((+H10*U$81*$P$89)+(H10*V$81*$P$90),0))</f>
        <v>0</v>
      </c>
      <c r="I23" s="17">
        <f>IF('rates, dates, etc'!$O227=9,ROUND((+I10*V$78),0),ROUND((+I10*V$81*$P$89)+(I10*W$81*$P$90),0))</f>
        <v>0</v>
      </c>
      <c r="J23" s="17">
        <f>IF('rates, dates, etc'!$O227=9,ROUND((+J10*W$78),0),ROUND((+J10*W$81*$P$89)+(J10*X$81*$P$90),0))</f>
        <v>0</v>
      </c>
      <c r="K23" s="17">
        <f>IF('rates, dates, etc'!$O227=9,ROUND((+K10*X$78),0),ROUND((+K10*X$81*$P$89)+(K10*Y$81*$P$90),0))</f>
        <v>0</v>
      </c>
      <c r="L23" s="83">
        <f t="shared" si="16"/>
        <v>0</v>
      </c>
    </row>
    <row r="24" spans="1:12" x14ac:dyDescent="0.2">
      <c r="A24" s="3" t="str">
        <f>+A13</f>
        <v>Post Doctoral Scholar(s)</v>
      </c>
      <c r="B24" s="17">
        <f t="shared" ref="B24:F25" si="17">ROUND((+B13*O82*$P$89)+(B13*P82*$P$90),0)</f>
        <v>0</v>
      </c>
      <c r="C24" s="17">
        <f t="shared" si="17"/>
        <v>0</v>
      </c>
      <c r="D24" s="17">
        <f t="shared" si="17"/>
        <v>0</v>
      </c>
      <c r="E24" s="17">
        <f t="shared" si="17"/>
        <v>0</v>
      </c>
      <c r="F24" s="17">
        <f t="shared" si="17"/>
        <v>0</v>
      </c>
      <c r="G24" s="17">
        <f t="shared" ref="G24:K24" si="18">ROUND((+G13*T82*$P$89)+(G13*U82*$P$90),0)</f>
        <v>0</v>
      </c>
      <c r="H24" s="17">
        <f t="shared" si="18"/>
        <v>0</v>
      </c>
      <c r="I24" s="17">
        <f t="shared" si="18"/>
        <v>0</v>
      </c>
      <c r="J24" s="17">
        <f t="shared" si="18"/>
        <v>0</v>
      </c>
      <c r="K24" s="17">
        <f t="shared" si="18"/>
        <v>0</v>
      </c>
      <c r="L24" s="83">
        <f t="shared" si="16"/>
        <v>0</v>
      </c>
    </row>
    <row r="25" spans="1:12" x14ac:dyDescent="0.2">
      <c r="A25" s="3" t="str">
        <f>+A14</f>
        <v>Other Professional(s) (Technicians, etc)</v>
      </c>
      <c r="B25" s="17">
        <f t="shared" si="17"/>
        <v>0</v>
      </c>
      <c r="C25" s="17">
        <f t="shared" si="17"/>
        <v>0</v>
      </c>
      <c r="D25" s="17">
        <f t="shared" si="17"/>
        <v>0</v>
      </c>
      <c r="E25" s="17">
        <f t="shared" si="17"/>
        <v>0</v>
      </c>
      <c r="F25" s="17">
        <f t="shared" si="17"/>
        <v>0</v>
      </c>
      <c r="G25" s="17">
        <f t="shared" ref="G25:K25" si="19">ROUND((+G14*T83*$P$89)+(G14*U83*$P$90),0)</f>
        <v>0</v>
      </c>
      <c r="H25" s="17">
        <f t="shared" si="19"/>
        <v>0</v>
      </c>
      <c r="I25" s="17">
        <f t="shared" si="19"/>
        <v>0</v>
      </c>
      <c r="J25" s="17">
        <f t="shared" si="19"/>
        <v>0</v>
      </c>
      <c r="K25" s="17">
        <f t="shared" si="19"/>
        <v>0</v>
      </c>
      <c r="L25" s="83">
        <f t="shared" si="16"/>
        <v>0</v>
      </c>
    </row>
    <row r="26" spans="1:12" x14ac:dyDescent="0.2">
      <c r="A26" s="3" t="str">
        <f>+A17</f>
        <v>Other</v>
      </c>
      <c r="B26" s="17">
        <f>IF('rates, dates, etc'!$O263=9,ROUND((+B17*O$78),0),ROUND((+B17*O$83*$P$89)+(B17*P$83*$P$90),0))</f>
        <v>0</v>
      </c>
      <c r="C26" s="17">
        <f>IF('rates, dates, etc'!$O263=9,ROUND((+C17*P$78),0),ROUND((+C17*P$83*$P$89)+(C17*Q$83*$P$90),0))</f>
        <v>0</v>
      </c>
      <c r="D26" s="17">
        <f>IF('rates, dates, etc'!$O263=9,ROUND((+D17*Q$78),0),ROUND((+D17*Q$83*$P$89)+(D17*R$83*$P$90),0))</f>
        <v>0</v>
      </c>
      <c r="E26" s="17">
        <f>IF('rates, dates, etc'!$O263=9,ROUND((+E17*R$78),0),ROUND((+E17*R$83*$P$89)+(E17*S$83*$P$90),0))</f>
        <v>0</v>
      </c>
      <c r="F26" s="17">
        <f>IF('rates, dates, etc'!$O263=9,ROUND((+F17*S$78),0),ROUND((+F17*S$83*$P$89)+(F17*T$83*$P$90),0))</f>
        <v>0</v>
      </c>
      <c r="G26" s="17">
        <f>IF('rates, dates, etc'!$O263=9,ROUND((+G17*T$78),0),ROUND((+G17*T$83*$P$89)+(G17*U$83*$P$90),0))</f>
        <v>0</v>
      </c>
      <c r="H26" s="17">
        <f>IF('rates, dates, etc'!$O263=9,ROUND((+H17*U$78),0),ROUND((+H17*U$83*$P$89)+(H17*V$83*$P$90),0))</f>
        <v>0</v>
      </c>
      <c r="I26" s="17">
        <f>IF('rates, dates, etc'!$O263=9,ROUND((+I17*V$78),0),ROUND((+I17*V$83*$P$89)+(I17*W$83*$P$90),0))</f>
        <v>0</v>
      </c>
      <c r="J26" s="17">
        <f>IF('rates, dates, etc'!$O263=9,ROUND((+J17*W$78),0),ROUND((+J17*W$83*$P$89)+(J17*X$83*$P$90),0))</f>
        <v>0</v>
      </c>
      <c r="K26" s="17">
        <f>IF('rates, dates, etc'!$O263=9,ROUND((+K17*X$78),0),ROUND((+K17*X$83*$P$89)+(K17*Y$83*$P$90),0))</f>
        <v>0</v>
      </c>
      <c r="L26" s="83">
        <f t="shared" si="16"/>
        <v>0</v>
      </c>
    </row>
    <row r="27" spans="1:12" ht="12" thickBot="1" x14ac:dyDescent="0.25">
      <c r="A27" s="76" t="str">
        <f>CONCATENATE("Total ",A20)</f>
        <v>Total Fringe Benefits</v>
      </c>
      <c r="B27" s="6">
        <f>SUM(B20:B26)</f>
        <v>0</v>
      </c>
      <c r="C27" s="6">
        <f>SUM(C20:C26)</f>
        <v>0</v>
      </c>
      <c r="D27" s="6">
        <f>SUM(D20:D26)</f>
        <v>0</v>
      </c>
      <c r="E27" s="6">
        <f t="shared" ref="E27:K27" si="20">SUM(E20:E26)</f>
        <v>0</v>
      </c>
      <c r="F27" s="6">
        <f t="shared" si="20"/>
        <v>0</v>
      </c>
      <c r="G27" s="6">
        <f t="shared" si="20"/>
        <v>0</v>
      </c>
      <c r="H27" s="6">
        <f t="shared" si="20"/>
        <v>0</v>
      </c>
      <c r="I27" s="6">
        <f t="shared" si="20"/>
        <v>0</v>
      </c>
      <c r="J27" s="6">
        <f t="shared" si="20"/>
        <v>0</v>
      </c>
      <c r="K27" s="6">
        <f t="shared" si="20"/>
        <v>0</v>
      </c>
      <c r="L27" s="86">
        <f>SUM(L20:L26)</f>
        <v>0</v>
      </c>
    </row>
    <row r="28" spans="1:12" ht="12" thickBot="1" x14ac:dyDescent="0.25">
      <c r="A28" s="130" t="s">
        <v>108</v>
      </c>
      <c r="B28" s="131">
        <f>+B11+B19+B27</f>
        <v>0</v>
      </c>
      <c r="C28" s="131">
        <f t="shared" ref="C28:K28" si="21">+C11+C19+C27</f>
        <v>0</v>
      </c>
      <c r="D28" s="131">
        <f t="shared" si="21"/>
        <v>0</v>
      </c>
      <c r="E28" s="131">
        <f t="shared" si="21"/>
        <v>0</v>
      </c>
      <c r="F28" s="131">
        <f t="shared" si="21"/>
        <v>0</v>
      </c>
      <c r="G28" s="131">
        <f t="shared" si="21"/>
        <v>0</v>
      </c>
      <c r="H28" s="131">
        <f t="shared" si="21"/>
        <v>0</v>
      </c>
      <c r="I28" s="131">
        <f t="shared" si="21"/>
        <v>0</v>
      </c>
      <c r="J28" s="131">
        <f t="shared" si="21"/>
        <v>0</v>
      </c>
      <c r="K28" s="131">
        <f t="shared" si="21"/>
        <v>0</v>
      </c>
      <c r="L28" s="132">
        <f>SUM(B28:K28)</f>
        <v>0</v>
      </c>
    </row>
    <row r="29" spans="1:12" x14ac:dyDescent="0.2">
      <c r="A29" s="77" t="s">
        <v>25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83"/>
    </row>
    <row r="30" spans="1:12" x14ac:dyDescent="0.2">
      <c r="A30" s="3" t="s">
        <v>62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83">
        <f>SUM(B30:K30)</f>
        <v>0</v>
      </c>
    </row>
    <row r="31" spans="1:12" x14ac:dyDescent="0.2">
      <c r="A31" s="3"/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83">
        <f>SUM(B31:K31)</f>
        <v>0</v>
      </c>
    </row>
    <row r="32" spans="1:12" ht="12" thickBot="1" x14ac:dyDescent="0.25">
      <c r="A32" s="76" t="str">
        <f>CONCATENATE("Total ",A29)</f>
        <v>Total Equipment</v>
      </c>
      <c r="B32" s="6">
        <f>SUM(B29:B31)</f>
        <v>0</v>
      </c>
      <c r="C32" s="6">
        <f>SUM(C29:C31)</f>
        <v>0</v>
      </c>
      <c r="D32" s="6">
        <f t="shared" ref="D32:K32" si="22">SUM(D29:D31)</f>
        <v>0</v>
      </c>
      <c r="E32" s="6">
        <f t="shared" si="22"/>
        <v>0</v>
      </c>
      <c r="F32" s="6">
        <f t="shared" si="22"/>
        <v>0</v>
      </c>
      <c r="G32" s="6">
        <f t="shared" si="22"/>
        <v>0</v>
      </c>
      <c r="H32" s="6">
        <f t="shared" si="22"/>
        <v>0</v>
      </c>
      <c r="I32" s="6">
        <f t="shared" si="22"/>
        <v>0</v>
      </c>
      <c r="J32" s="6">
        <f t="shared" si="22"/>
        <v>0</v>
      </c>
      <c r="K32" s="6">
        <f t="shared" si="22"/>
        <v>0</v>
      </c>
      <c r="L32" s="86">
        <f>SUM(L29:L31)</f>
        <v>0</v>
      </c>
    </row>
    <row r="33" spans="1:12" x14ac:dyDescent="0.2">
      <c r="A33" s="77" t="s">
        <v>34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83"/>
    </row>
    <row r="34" spans="1:12" x14ac:dyDescent="0.2">
      <c r="A34" s="3" t="s">
        <v>10</v>
      </c>
      <c r="B34" s="342">
        <v>0</v>
      </c>
      <c r="C34" s="342">
        <v>0</v>
      </c>
      <c r="D34" s="342">
        <v>0</v>
      </c>
      <c r="E34" s="342">
        <v>0</v>
      </c>
      <c r="F34" s="342">
        <v>0</v>
      </c>
      <c r="G34" s="342">
        <v>0</v>
      </c>
      <c r="H34" s="342">
        <v>0</v>
      </c>
      <c r="I34" s="342">
        <v>0</v>
      </c>
      <c r="J34" s="342">
        <v>0</v>
      </c>
      <c r="K34" s="342">
        <v>0</v>
      </c>
      <c r="L34" s="83">
        <f>SUM(B34:K34)</f>
        <v>0</v>
      </c>
    </row>
    <row r="35" spans="1:12" x14ac:dyDescent="0.2">
      <c r="A35" s="3" t="s">
        <v>11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83">
        <f>SUM(B35:K35)</f>
        <v>0</v>
      </c>
    </row>
    <row r="36" spans="1:12" ht="12" thickBot="1" x14ac:dyDescent="0.25">
      <c r="A36" s="76" t="str">
        <f>CONCATENATE("Total ",A33)</f>
        <v>Total Travel</v>
      </c>
      <c r="B36" s="6">
        <f>SUM(B33:B35)</f>
        <v>0</v>
      </c>
      <c r="C36" s="6">
        <f t="shared" ref="C36:K36" si="23">SUM(C33:C35)</f>
        <v>0</v>
      </c>
      <c r="D36" s="6">
        <f t="shared" si="23"/>
        <v>0</v>
      </c>
      <c r="E36" s="6">
        <f t="shared" si="23"/>
        <v>0</v>
      </c>
      <c r="F36" s="6">
        <f t="shared" si="23"/>
        <v>0</v>
      </c>
      <c r="G36" s="6">
        <f t="shared" si="23"/>
        <v>0</v>
      </c>
      <c r="H36" s="6">
        <f t="shared" si="23"/>
        <v>0</v>
      </c>
      <c r="I36" s="6">
        <f t="shared" si="23"/>
        <v>0</v>
      </c>
      <c r="J36" s="6">
        <f t="shared" si="23"/>
        <v>0</v>
      </c>
      <c r="K36" s="6">
        <f t="shared" si="23"/>
        <v>0</v>
      </c>
      <c r="L36" s="86">
        <f>SUM(L33:L35)</f>
        <v>0</v>
      </c>
    </row>
    <row r="37" spans="1:12" x14ac:dyDescent="0.2">
      <c r="A37" s="77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83"/>
    </row>
    <row r="38" spans="1:12" x14ac:dyDescent="0.2">
      <c r="A38" s="3" t="s">
        <v>75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83">
        <f>SUM(B38:K38)</f>
        <v>0</v>
      </c>
    </row>
    <row r="39" spans="1:12" x14ac:dyDescent="0.2">
      <c r="A39" s="3" t="s">
        <v>42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83">
        <f t="shared" ref="L39:L42" si="24">SUM(B39:K39)</f>
        <v>0</v>
      </c>
    </row>
    <row r="40" spans="1:12" x14ac:dyDescent="0.2">
      <c r="A40" s="3" t="s">
        <v>34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83">
        <f t="shared" si="24"/>
        <v>0</v>
      </c>
    </row>
    <row r="41" spans="1:12" x14ac:dyDescent="0.2">
      <c r="A41" s="3" t="s">
        <v>43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83">
        <f t="shared" si="24"/>
        <v>0</v>
      </c>
    </row>
    <row r="42" spans="1:12" x14ac:dyDescent="0.2">
      <c r="A42" s="3" t="s">
        <v>29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83">
        <f t="shared" si="24"/>
        <v>0</v>
      </c>
    </row>
    <row r="43" spans="1:12" ht="12" thickBot="1" x14ac:dyDescent="0.25">
      <c r="A43" s="76" t="str">
        <f>CONCATENATE("Total ",A37)</f>
        <v>Total Participant Support Costs</v>
      </c>
      <c r="B43" s="6">
        <f>SUM(B37:B42)</f>
        <v>0</v>
      </c>
      <c r="C43" s="6">
        <f>SUM(C37:C42)</f>
        <v>0</v>
      </c>
      <c r="D43" s="6">
        <f t="shared" ref="D43:K43" si="25">SUM(D37:D42)</f>
        <v>0</v>
      </c>
      <c r="E43" s="6">
        <f t="shared" si="25"/>
        <v>0</v>
      </c>
      <c r="F43" s="6">
        <f t="shared" si="25"/>
        <v>0</v>
      </c>
      <c r="G43" s="6">
        <f t="shared" si="25"/>
        <v>0</v>
      </c>
      <c r="H43" s="6">
        <f t="shared" si="25"/>
        <v>0</v>
      </c>
      <c r="I43" s="6">
        <f t="shared" si="25"/>
        <v>0</v>
      </c>
      <c r="J43" s="6">
        <f t="shared" si="25"/>
        <v>0</v>
      </c>
      <c r="K43" s="6">
        <f t="shared" si="25"/>
        <v>0</v>
      </c>
      <c r="L43" s="86">
        <f>SUM(L37:L42)</f>
        <v>0</v>
      </c>
    </row>
    <row r="44" spans="1:12" x14ac:dyDescent="0.2">
      <c r="A44" s="77" t="s">
        <v>13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83"/>
    </row>
    <row r="45" spans="1:12" x14ac:dyDescent="0.2">
      <c r="A45" s="3" t="s">
        <v>14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83">
        <f>SUM(B45:K45)</f>
        <v>0</v>
      </c>
    </row>
    <row r="46" spans="1:12" x14ac:dyDescent="0.2">
      <c r="A46" s="3" t="s">
        <v>181</v>
      </c>
      <c r="B46" s="78">
        <v>0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83">
        <f t="shared" ref="L46:L53" si="26">SUM(B46:K46)</f>
        <v>0</v>
      </c>
    </row>
    <row r="47" spans="1:12" x14ac:dyDescent="0.2">
      <c r="A47" s="3" t="s">
        <v>240</v>
      </c>
      <c r="B47" s="78">
        <v>0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83">
        <f t="shared" si="26"/>
        <v>0</v>
      </c>
    </row>
    <row r="48" spans="1:12" x14ac:dyDescent="0.2">
      <c r="A48" s="3" t="s">
        <v>182</v>
      </c>
      <c r="B48" s="78">
        <v>0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83">
        <f t="shared" si="26"/>
        <v>0</v>
      </c>
    </row>
    <row r="49" spans="1:20" x14ac:dyDescent="0.2">
      <c r="A49" s="3" t="s">
        <v>41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83">
        <f t="shared" si="26"/>
        <v>0</v>
      </c>
    </row>
    <row r="50" spans="1:20" x14ac:dyDescent="0.2">
      <c r="A50" s="3" t="s">
        <v>147</v>
      </c>
      <c r="B50" s="78">
        <f>O70</f>
        <v>0</v>
      </c>
      <c r="C50" s="78">
        <f t="shared" ref="C50:F50" si="27">P70</f>
        <v>0</v>
      </c>
      <c r="D50" s="78">
        <f t="shared" si="27"/>
        <v>0</v>
      </c>
      <c r="E50" s="78">
        <f t="shared" si="27"/>
        <v>0</v>
      </c>
      <c r="F50" s="78">
        <f t="shared" si="27"/>
        <v>0</v>
      </c>
      <c r="G50" s="78">
        <f t="shared" ref="G50:G51" si="28">T70</f>
        <v>0</v>
      </c>
      <c r="H50" s="78">
        <f t="shared" ref="H50:H51" si="29">U70</f>
        <v>0</v>
      </c>
      <c r="I50" s="78">
        <f t="shared" ref="I50:I51" si="30">V70</f>
        <v>0</v>
      </c>
      <c r="J50" s="78">
        <f t="shared" ref="J50:J51" si="31">W70</f>
        <v>0</v>
      </c>
      <c r="K50" s="78">
        <f t="shared" ref="K50:K51" si="32">X70</f>
        <v>0</v>
      </c>
      <c r="L50" s="83">
        <f t="shared" si="26"/>
        <v>0</v>
      </c>
    </row>
    <row r="51" spans="1:20" x14ac:dyDescent="0.2">
      <c r="A51" s="3" t="s">
        <v>146</v>
      </c>
      <c r="B51" s="78">
        <f>O71</f>
        <v>0</v>
      </c>
      <c r="C51" s="78">
        <f t="shared" ref="C51:F51" si="33">P71</f>
        <v>0</v>
      </c>
      <c r="D51" s="78">
        <f t="shared" si="33"/>
        <v>0</v>
      </c>
      <c r="E51" s="78">
        <f t="shared" si="33"/>
        <v>0</v>
      </c>
      <c r="F51" s="78">
        <f t="shared" si="33"/>
        <v>0</v>
      </c>
      <c r="G51" s="78">
        <f t="shared" si="28"/>
        <v>0</v>
      </c>
      <c r="H51" s="78">
        <f t="shared" si="29"/>
        <v>0</v>
      </c>
      <c r="I51" s="78">
        <f t="shared" si="30"/>
        <v>0</v>
      </c>
      <c r="J51" s="78">
        <f t="shared" si="31"/>
        <v>0</v>
      </c>
      <c r="K51" s="78">
        <f t="shared" si="32"/>
        <v>0</v>
      </c>
      <c r="L51" s="83">
        <f t="shared" si="26"/>
        <v>0</v>
      </c>
    </row>
    <row r="52" spans="1:20" x14ac:dyDescent="0.2">
      <c r="A52" s="3" t="s">
        <v>29</v>
      </c>
      <c r="B52" s="78">
        <v>0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83">
        <f t="shared" si="26"/>
        <v>0</v>
      </c>
    </row>
    <row r="53" spans="1:20" x14ac:dyDescent="0.2">
      <c r="A53" s="3" t="s">
        <v>29</v>
      </c>
      <c r="B53" s="78">
        <v>0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83">
        <f t="shared" si="26"/>
        <v>0</v>
      </c>
      <c r="P53" s="1"/>
      <c r="S53" s="5"/>
      <c r="T53" s="5"/>
    </row>
    <row r="54" spans="1:20" ht="12" thickBot="1" x14ac:dyDescent="0.25">
      <c r="A54" s="76" t="str">
        <f>CONCATENATE("Total ",A44)</f>
        <v>Total Other Direct Costs</v>
      </c>
      <c r="B54" s="86">
        <f t="shared" ref="B54:L54" si="34">SUM(B44:B53)</f>
        <v>0</v>
      </c>
      <c r="C54" s="6">
        <f t="shared" si="34"/>
        <v>0</v>
      </c>
      <c r="D54" s="6">
        <f t="shared" si="34"/>
        <v>0</v>
      </c>
      <c r="E54" s="6">
        <f t="shared" si="34"/>
        <v>0</v>
      </c>
      <c r="F54" s="6">
        <f t="shared" si="34"/>
        <v>0</v>
      </c>
      <c r="G54" s="6">
        <f t="shared" si="34"/>
        <v>0</v>
      </c>
      <c r="H54" s="6">
        <f t="shared" si="34"/>
        <v>0</v>
      </c>
      <c r="I54" s="6">
        <f t="shared" si="34"/>
        <v>0</v>
      </c>
      <c r="J54" s="6">
        <f t="shared" si="34"/>
        <v>0</v>
      </c>
      <c r="K54" s="6">
        <f t="shared" si="34"/>
        <v>0</v>
      </c>
      <c r="L54" s="86">
        <f t="shared" si="34"/>
        <v>0</v>
      </c>
      <c r="S54" s="5"/>
      <c r="T54" s="5"/>
    </row>
    <row r="55" spans="1:20" ht="12" thickBot="1" x14ac:dyDescent="0.25">
      <c r="A55" s="82" t="s">
        <v>16</v>
      </c>
      <c r="B55" s="124">
        <f t="shared" ref="B55:L55" si="35">SUM(+B11+B19+B27+B32+B36+B43+B54)</f>
        <v>0</v>
      </c>
      <c r="C55" s="124">
        <f t="shared" si="35"/>
        <v>0</v>
      </c>
      <c r="D55" s="124">
        <f t="shared" si="35"/>
        <v>0</v>
      </c>
      <c r="E55" s="124">
        <f t="shared" si="35"/>
        <v>0</v>
      </c>
      <c r="F55" s="124">
        <f t="shared" si="35"/>
        <v>0</v>
      </c>
      <c r="G55" s="124">
        <f t="shared" ref="G55:K55" si="36">SUM(+G11+G19+G27+G32+G36+G43+G54)</f>
        <v>0</v>
      </c>
      <c r="H55" s="124">
        <f t="shared" si="36"/>
        <v>0</v>
      </c>
      <c r="I55" s="124">
        <f t="shared" si="36"/>
        <v>0</v>
      </c>
      <c r="J55" s="124">
        <f t="shared" si="36"/>
        <v>0</v>
      </c>
      <c r="K55" s="124">
        <f t="shared" si="36"/>
        <v>0</v>
      </c>
      <c r="L55" s="125">
        <f t="shared" si="35"/>
        <v>0</v>
      </c>
      <c r="S55" s="5"/>
      <c r="T55" s="5"/>
    </row>
    <row r="56" spans="1:20" ht="12" thickBot="1" x14ac:dyDescent="0.25">
      <c r="A56" s="71" t="s">
        <v>17</v>
      </c>
      <c r="B56" s="94">
        <f>+B55-(B50+B51+B43+B61+B32)</f>
        <v>0</v>
      </c>
      <c r="C56" s="94">
        <f t="shared" ref="C56:K56" si="37">+C55-(C50+C51+C43+C61+C32)</f>
        <v>0</v>
      </c>
      <c r="D56" s="94">
        <f t="shared" si="37"/>
        <v>0</v>
      </c>
      <c r="E56" s="94">
        <f t="shared" si="37"/>
        <v>0</v>
      </c>
      <c r="F56" s="94">
        <f t="shared" si="37"/>
        <v>0</v>
      </c>
      <c r="G56" s="94">
        <f t="shared" si="37"/>
        <v>0</v>
      </c>
      <c r="H56" s="94">
        <f t="shared" si="37"/>
        <v>0</v>
      </c>
      <c r="I56" s="94">
        <f t="shared" si="37"/>
        <v>0</v>
      </c>
      <c r="J56" s="94">
        <f t="shared" si="37"/>
        <v>0</v>
      </c>
      <c r="K56" s="94">
        <f t="shared" si="37"/>
        <v>0</v>
      </c>
      <c r="L56" s="81">
        <f>SUM(B56:K56)</f>
        <v>0</v>
      </c>
      <c r="M56" s="108"/>
      <c r="S56" s="5"/>
      <c r="T56" s="5"/>
    </row>
    <row r="57" spans="1:20" ht="12" thickBot="1" x14ac:dyDescent="0.25">
      <c r="A57" s="99" t="s">
        <v>18</v>
      </c>
      <c r="B57" s="126">
        <f>IF(AND('rates, dates, etc'!$B$8="no",'Budget Summary'!$L$99&lt;'Budget Summary'!$L$100),B63,B64)</f>
        <v>0</v>
      </c>
      <c r="C57" s="126">
        <f>IF(AND('rates, dates, etc'!$B$8="no",'Budget Summary'!$L$99&lt;'Budget Summary'!$L$100),C63,C64)</f>
        <v>0</v>
      </c>
      <c r="D57" s="126">
        <f>IF(AND('rates, dates, etc'!$B$8="no",'Budget Summary'!$L$99&lt;'Budget Summary'!$L$100),D63,D64)</f>
        <v>0</v>
      </c>
      <c r="E57" s="126">
        <f>IF(AND('rates, dates, etc'!$B$8="no",'Budget Summary'!$L$99&lt;'Budget Summary'!$L$100),E63,E64)</f>
        <v>0</v>
      </c>
      <c r="F57" s="126">
        <f>IF(AND('rates, dates, etc'!$B$8="no",'Budget Summary'!$L$99&lt;'Budget Summary'!$L$100),F63,F64)</f>
        <v>0</v>
      </c>
      <c r="G57" s="126">
        <f>IF(AND('rates, dates, etc'!$B$8="no",'Budget Summary'!$L$99&lt;'Budget Summary'!$L$100),G63,G64)</f>
        <v>0</v>
      </c>
      <c r="H57" s="126">
        <f>IF(AND('rates, dates, etc'!$B$8="no",'Budget Summary'!$L$99&lt;'Budget Summary'!$L$100),H63,H64)</f>
        <v>0</v>
      </c>
      <c r="I57" s="126">
        <f>IF(AND('rates, dates, etc'!$B$8="no",'Budget Summary'!$L$99&lt;'Budget Summary'!$L$100),I63,I64)</f>
        <v>0</v>
      </c>
      <c r="J57" s="126">
        <f>IF(AND('rates, dates, etc'!$B$8="no",'Budget Summary'!$L$99&lt;'Budget Summary'!$L$100),J63,J64)</f>
        <v>0</v>
      </c>
      <c r="K57" s="126">
        <f>IF(AND('rates, dates, etc'!$B$8="no",'Budget Summary'!$L$99&lt;'Budget Summary'!$L$100),K63,K64)</f>
        <v>0</v>
      </c>
      <c r="L57" s="127">
        <f>SUM(B57:K57)</f>
        <v>0</v>
      </c>
      <c r="M57" s="107"/>
      <c r="S57" s="5"/>
      <c r="T57" s="5"/>
    </row>
    <row r="58" spans="1:20" ht="12" thickBot="1" x14ac:dyDescent="0.25">
      <c r="A58" s="100" t="s">
        <v>19</v>
      </c>
      <c r="B58" s="128">
        <f>+B55+B57</f>
        <v>0</v>
      </c>
      <c r="C58" s="128">
        <f t="shared" ref="C58:F58" si="38">+C55+C57</f>
        <v>0</v>
      </c>
      <c r="D58" s="128">
        <f t="shared" si="38"/>
        <v>0</v>
      </c>
      <c r="E58" s="128">
        <f t="shared" si="38"/>
        <v>0</v>
      </c>
      <c r="F58" s="128">
        <f t="shared" si="38"/>
        <v>0</v>
      </c>
      <c r="G58" s="128">
        <f t="shared" ref="G58:K58" si="39">+G55+G57</f>
        <v>0</v>
      </c>
      <c r="H58" s="128">
        <f t="shared" si="39"/>
        <v>0</v>
      </c>
      <c r="I58" s="128">
        <f t="shared" si="39"/>
        <v>0</v>
      </c>
      <c r="J58" s="128">
        <f t="shared" si="39"/>
        <v>0</v>
      </c>
      <c r="K58" s="128">
        <f t="shared" si="39"/>
        <v>0</v>
      </c>
      <c r="L58" s="129">
        <f>SUM(B58:K58)</f>
        <v>0</v>
      </c>
      <c r="Q58" s="4"/>
      <c r="S58" s="5"/>
      <c r="T58" s="5"/>
    </row>
    <row r="59" spans="1:20" x14ac:dyDescent="0.2">
      <c r="A59" s="7"/>
      <c r="B59" s="4"/>
      <c r="C59" s="4"/>
      <c r="D59" s="4"/>
      <c r="E59" s="4"/>
      <c r="F59" s="4"/>
      <c r="G59" s="4"/>
      <c r="H59" s="4"/>
      <c r="I59" s="4"/>
      <c r="J59" s="4"/>
      <c r="K59" s="4"/>
      <c r="Q59" s="4"/>
      <c r="S59" s="5"/>
      <c r="T59" s="5"/>
    </row>
    <row r="60" spans="1:20" ht="12" thickBo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20" ht="12" thickBot="1" x14ac:dyDescent="0.25">
      <c r="A61" s="20" t="s">
        <v>40</v>
      </c>
      <c r="B61" s="87">
        <f>+B49-IF(B49&lt;25000,B49,25000)</f>
        <v>0</v>
      </c>
      <c r="C61" s="87">
        <f>+C49-IF(+B49&gt;25000,0,IF(B49+C49&gt;25000,(25000-B49),C49))</f>
        <v>0</v>
      </c>
      <c r="D61" s="87">
        <f>+D49-IF(+B49+C49&gt;25000,0,IF(B49+C49+D49&gt;25000,(25000-(B49+C49)),D49))</f>
        <v>0</v>
      </c>
      <c r="E61" s="87">
        <f>+E49-IF(B49+C49+D49&gt;25000,0,IF(B49+C49+D49+E49&gt;25000,(25000-(C49+C49+D49)),E49))</f>
        <v>0</v>
      </c>
      <c r="F61" s="87">
        <f>+F49-IF(B49+C49+D49+E49&gt;25000,0,IF(B49+C49+D49+E49+F49&gt;25000,(25000-(B49+C49+D49+E49)),F49))</f>
        <v>0</v>
      </c>
      <c r="G61" s="87">
        <f t="shared" ref="G61:K61" si="40">+G49-IF(C49+D49+E49+F49&gt;25000,0,IF(C49+D49+E49+F49+G49&gt;25000,(25000-(C49+D49+E49+F49)),G49))</f>
        <v>0</v>
      </c>
      <c r="H61" s="87">
        <f t="shared" si="40"/>
        <v>0</v>
      </c>
      <c r="I61" s="87">
        <f t="shared" si="40"/>
        <v>0</v>
      </c>
      <c r="J61" s="87">
        <f t="shared" si="40"/>
        <v>0</v>
      </c>
      <c r="K61" s="87">
        <f t="shared" si="40"/>
        <v>0</v>
      </c>
      <c r="L61" s="92">
        <f>SUM(B61:K61)</f>
        <v>0</v>
      </c>
    </row>
    <row r="62" spans="1:20" ht="12" thickBo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20" ht="12" thickBot="1" x14ac:dyDescent="0.25">
      <c r="A63" s="90" t="s">
        <v>110</v>
      </c>
      <c r="B63" s="93">
        <f>IF('rates, dates, etc'!$B$8="Yes",0,ROUND((B55*O85*$P$89)+(B55*P85*$P$90),0))</f>
        <v>0</v>
      </c>
      <c r="C63" s="93">
        <f>IF('rates, dates, etc'!$B$8="Yes",0,ROUND((C55*P85*$P$89)+(C55*Q85*$P$90),0))</f>
        <v>0</v>
      </c>
      <c r="D63" s="93">
        <f>IF('rates, dates, etc'!$B$8="Yes",0,ROUND((D55*Q85*$P$89)+(D55*R85*$P$90),0))</f>
        <v>0</v>
      </c>
      <c r="E63" s="93">
        <f>IF('rates, dates, etc'!$B$8="Yes",0,ROUND((E55*R85*$P$89)+(E55*S85*$P$90),0))</f>
        <v>0</v>
      </c>
      <c r="F63" s="93">
        <f>IF('rates, dates, etc'!$B$8="Yes",0,ROUND((F55*S85*$P$89)+(F55*T85*$P$90),0))</f>
        <v>0</v>
      </c>
      <c r="G63" s="93">
        <f>IF('rates, dates, etc'!$B$8="Yes",0,ROUND((G55*T85*$P$89)+(G55*U85*$P$90),0))</f>
        <v>0</v>
      </c>
      <c r="H63" s="93">
        <f>IF('rates, dates, etc'!$B$8="Yes",0,ROUND((H55*U85*$P$89)+(H55*V85*$P$90),0))</f>
        <v>0</v>
      </c>
      <c r="I63" s="93">
        <f>IF('rates, dates, etc'!$B$8="Yes",0,ROUND((I55*V85*$P$89)+(I55*W85*$P$90),0))</f>
        <v>0</v>
      </c>
      <c r="J63" s="93">
        <f>IF('rates, dates, etc'!$B$8="Yes",0,ROUND((J55*W85*$P$89)+(J55*X85*$P$90),0))</f>
        <v>0</v>
      </c>
      <c r="K63" s="93">
        <f>IF('rates, dates, etc'!$B$8="Yes",0,ROUND((K55*X85*$P$89)+(K55*Y85*$P$90),0))</f>
        <v>0</v>
      </c>
      <c r="L63" s="93">
        <f>SUM(B63:K63)</f>
        <v>0</v>
      </c>
    </row>
    <row r="64" spans="1:20" ht="12" thickBot="1" x14ac:dyDescent="0.25">
      <c r="A64" s="91" t="s">
        <v>109</v>
      </c>
      <c r="B64" s="93">
        <f t="shared" ref="B64:K64" si="41">ROUND((B56*O86*$P$89)+(B56*P86*$P$90),0)</f>
        <v>0</v>
      </c>
      <c r="C64" s="95">
        <f t="shared" si="41"/>
        <v>0</v>
      </c>
      <c r="D64" s="95">
        <f t="shared" si="41"/>
        <v>0</v>
      </c>
      <c r="E64" s="95">
        <f t="shared" si="41"/>
        <v>0</v>
      </c>
      <c r="F64" s="95">
        <f t="shared" si="41"/>
        <v>0</v>
      </c>
      <c r="G64" s="95">
        <f t="shared" si="41"/>
        <v>0</v>
      </c>
      <c r="H64" s="95">
        <f t="shared" si="41"/>
        <v>0</v>
      </c>
      <c r="I64" s="95">
        <f t="shared" si="41"/>
        <v>0</v>
      </c>
      <c r="J64" s="95">
        <f t="shared" si="41"/>
        <v>0</v>
      </c>
      <c r="K64" s="95">
        <f t="shared" si="41"/>
        <v>0</v>
      </c>
      <c r="L64" s="93">
        <f>SUM(B64:K64)</f>
        <v>0</v>
      </c>
    </row>
    <row r="66" spans="1:26" ht="12" thickBot="1" x14ac:dyDescent="0.25">
      <c r="A66" s="7"/>
      <c r="N66" s="43" t="s">
        <v>71</v>
      </c>
      <c r="O66" s="9" t="str">
        <f>+'rates, dates, etc'!B85</f>
        <v>Year 1</v>
      </c>
      <c r="P66" s="9" t="str">
        <f>+'rates, dates, etc'!C85</f>
        <v>Year 2</v>
      </c>
      <c r="Q66" s="9" t="str">
        <f>+'rates, dates, etc'!D85</f>
        <v>Year 3</v>
      </c>
      <c r="R66" s="9" t="str">
        <f>+'rates, dates, etc'!E85</f>
        <v>Year 4</v>
      </c>
      <c r="S66" s="9" t="str">
        <f>+'rates, dates, etc'!F85</f>
        <v>Year 5</v>
      </c>
      <c r="T66" s="9" t="str">
        <f>+'rates, dates, etc'!G85</f>
        <v>Year 6</v>
      </c>
      <c r="U66" s="9" t="str">
        <f>+'rates, dates, etc'!H85</f>
        <v>Year 7</v>
      </c>
      <c r="V66" s="9" t="str">
        <f>+'rates, dates, etc'!I85</f>
        <v>Year 8</v>
      </c>
      <c r="W66" s="9" t="str">
        <f>+'rates, dates, etc'!J85</f>
        <v>Year 9</v>
      </c>
      <c r="X66" s="9" t="str">
        <f>+'rates, dates, etc'!K85</f>
        <v>Year 10</v>
      </c>
    </row>
    <row r="67" spans="1:26" x14ac:dyDescent="0.2"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17"/>
      <c r="N67" s="14" t="s">
        <v>32</v>
      </c>
      <c r="O67" s="15">
        <f>SUM('rates, dates, etc'!S242:S244)/3</f>
        <v>0</v>
      </c>
      <c r="P67" s="15">
        <f>SUM('rates, dates, etc'!T242:T244)/3</f>
        <v>0</v>
      </c>
      <c r="Q67" s="15">
        <f>SUM('rates, dates, etc'!U242:U244)/3</f>
        <v>0</v>
      </c>
      <c r="R67" s="15">
        <f>SUM('rates, dates, etc'!V242:V244)/3</f>
        <v>0</v>
      </c>
      <c r="S67" s="15">
        <f>SUM('rates, dates, etc'!W242:W244)/3</f>
        <v>0</v>
      </c>
      <c r="T67" s="15">
        <f>SUM('rates, dates, etc'!X242:X244)/3</f>
        <v>0</v>
      </c>
      <c r="U67" s="15">
        <f>SUM('rates, dates, etc'!Y242:Y244)/3</f>
        <v>0</v>
      </c>
      <c r="V67" s="15">
        <f>SUM('rates, dates, etc'!Z242:Z244)/3</f>
        <v>0</v>
      </c>
      <c r="W67" s="15">
        <f>SUM('rates, dates, etc'!AA242:AA244)/3</f>
        <v>0</v>
      </c>
      <c r="X67" s="15">
        <f>SUM('rates, dates, etc'!AB242:AB244)/3</f>
        <v>0</v>
      </c>
    </row>
    <row r="68" spans="1:26" x14ac:dyDescent="0.2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17"/>
      <c r="N68" s="3" t="s">
        <v>144</v>
      </c>
      <c r="O68" s="4">
        <f>(SUMIF('rates, dates, etc'!$R$258:$R$266,"Stipend (Fall)",'rates, dates, etc'!S258:S266))+
(SUMIF('rates, dates, etc'!$R$258:$R$266,"Stipend (Spring)",'rates, dates, etc'!S258:S266))</f>
        <v>0</v>
      </c>
      <c r="P68" s="4">
        <f>(SUMIF('rates, dates, etc'!$R$258:$R$266,"Stipend (Fall)",'rates, dates, etc'!T258:T266))+
(SUMIF('rates, dates, etc'!$R$258:$R$266,"Stipend (Spring)",'rates, dates, etc'!T258:T266))</f>
        <v>0</v>
      </c>
      <c r="Q68" s="4">
        <f>(SUMIF('rates, dates, etc'!$R$258:$R$266,"Stipend (Fall)",'rates, dates, etc'!U258:U266))+
(SUMIF('rates, dates, etc'!$R$258:$R$266,"Stipend (Spring)",'rates, dates, etc'!U258:U266))</f>
        <v>0</v>
      </c>
      <c r="R68" s="4">
        <f>(SUMIF('rates, dates, etc'!$R$258:$R$266,"Stipend (Fall)",'rates, dates, etc'!V258:V266))+
(SUMIF('rates, dates, etc'!$R$258:$R$266,"Stipend (Spring)",'rates, dates, etc'!V258:V266))</f>
        <v>0</v>
      </c>
      <c r="S68" s="4">
        <f>(SUMIF('rates, dates, etc'!$R$258:$R$266,"Stipend (Fall)",'rates, dates, etc'!W258:W266))+
(SUMIF('rates, dates, etc'!$R$258:$R$266,"Stipend (Spring)",'rates, dates, etc'!W258:W266))</f>
        <v>0</v>
      </c>
      <c r="T68" s="4">
        <f>(SUMIF('rates, dates, etc'!$R$258:$R$266,"Stipend (Fall)",'rates, dates, etc'!X258:X266))+
(SUMIF('rates, dates, etc'!$R$258:$R$266,"Stipend (Spring)",'rates, dates, etc'!X258:X266))</f>
        <v>0</v>
      </c>
      <c r="U68" s="4">
        <f>(SUMIF('rates, dates, etc'!$R$258:$R$266,"Stipend (Fall)",'rates, dates, etc'!Y258:Y266))+
(SUMIF('rates, dates, etc'!$R$258:$R$266,"Stipend (Spring)",'rates, dates, etc'!Y258:Y266))</f>
        <v>0</v>
      </c>
      <c r="V68" s="4">
        <f>(SUMIF('rates, dates, etc'!$R$258:$R$266,"Stipend (Fall)",'rates, dates, etc'!Z258:Z266))+
(SUMIF('rates, dates, etc'!$R$258:$R$266,"Stipend (Spring)",'rates, dates, etc'!Z258:Z266))</f>
        <v>0</v>
      </c>
      <c r="W68" s="4">
        <f>(SUMIF('rates, dates, etc'!$R$258:$R$266,"Stipend (Fall)",'rates, dates, etc'!AA258:AA266))+
(SUMIF('rates, dates, etc'!$R$258:$R$266,"Stipend (Spring)",'rates, dates, etc'!AA258:AA266))</f>
        <v>0</v>
      </c>
      <c r="X68" s="4">
        <f>(SUMIF('rates, dates, etc'!$R$258:$R$266,"Stipend (Fall)",'rates, dates, etc'!AB258:AB266))+
(SUMIF('rates, dates, etc'!$R$258:$R$266,"Stipend (Spring)",'rates, dates, etc'!AB258:AB266))</f>
        <v>0</v>
      </c>
    </row>
    <row r="69" spans="1:26" x14ac:dyDescent="0.2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17"/>
      <c r="N69" s="3" t="s">
        <v>145</v>
      </c>
      <c r="O69" s="4">
        <f>(SUMIF('rates, dates, etc'!$R$258:$R$266,"Stipend (Summer)",'rates, dates, etc'!S258:S266))</f>
        <v>0</v>
      </c>
      <c r="P69" s="4">
        <f>(SUMIF('rates, dates, etc'!$R$258:$R$266,"Stipend (Summer)",'rates, dates, etc'!T258:T266))</f>
        <v>0</v>
      </c>
      <c r="Q69" s="4">
        <f>(SUMIF('rates, dates, etc'!$R$258:$R$266,"Stipend (Summer)",'rates, dates, etc'!U258:U266))</f>
        <v>0</v>
      </c>
      <c r="R69" s="4">
        <f>(SUMIF('rates, dates, etc'!$R$258:$R$266,"Stipend (Summer)",'rates, dates, etc'!V258:V266))</f>
        <v>0</v>
      </c>
      <c r="S69" s="4">
        <f>(SUMIF('rates, dates, etc'!$R$258:$R$266,"Stipend (Summer)",'rates, dates, etc'!W258:W266))</f>
        <v>0</v>
      </c>
      <c r="T69" s="4">
        <f>(SUMIF('rates, dates, etc'!$R$258:$R$266,"Stipend (Summer)",'rates, dates, etc'!X258:X266))</f>
        <v>0</v>
      </c>
      <c r="U69" s="4">
        <f>(SUMIF('rates, dates, etc'!$R$258:$R$266,"Stipend (Summer)",'rates, dates, etc'!Y258:Y266))</f>
        <v>0</v>
      </c>
      <c r="V69" s="4">
        <f>(SUMIF('rates, dates, etc'!$R$258:$R$266,"Stipend (Summer)",'rates, dates, etc'!Z258:Z266))</f>
        <v>0</v>
      </c>
      <c r="W69" s="4">
        <f>(SUMIF('rates, dates, etc'!$R$258:$R$266,"Stipend (Summer)",'rates, dates, etc'!AA258:AA266))</f>
        <v>0</v>
      </c>
      <c r="X69" s="4">
        <f>(SUMIF('rates, dates, etc'!$R$258:$R$266,"Stipend (Summer)",'rates, dates, etc'!AB258:AB266))</f>
        <v>0</v>
      </c>
    </row>
    <row r="70" spans="1:26" x14ac:dyDescent="0.2">
      <c r="N70" s="3" t="s">
        <v>8</v>
      </c>
      <c r="O70" s="4">
        <f>(SUMIF('rates, dates, etc'!$R$258:$R$266,"Tuition (Fall)",'rates, dates, etc'!S258:S266))+
(SUMIF('rates, dates, etc'!$R$258:$R$266,"Tuition (Spring)",'rates, dates, etc'!S258:S266))+
(SUMIF('rates, dates, etc'!$R$258:$R$266,"Tuition (Summer)",'rates, dates, etc'!S258:S266))</f>
        <v>0</v>
      </c>
      <c r="P70" s="4">
        <f>(SUMIF('rates, dates, etc'!$R$258:$R$266,"Tuition (Fall)",'rates, dates, etc'!T258:T266))+
(SUMIF('rates, dates, etc'!$R$258:$R$266,"Tuition (Spring)",'rates, dates, etc'!T258:T266))+
(SUMIF('rates, dates, etc'!$R$258:$R$266,"Tuition (Summer)",'rates, dates, etc'!T258:T266))</f>
        <v>0</v>
      </c>
      <c r="Q70" s="4">
        <f>(SUMIF('rates, dates, etc'!$R$258:$R$266,"Tuition (Fall)",'rates, dates, etc'!U258:U266))+
(SUMIF('rates, dates, etc'!$R$258:$R$266,"Tuition (Spring)",'rates, dates, etc'!U258:U266))+
(SUMIF('rates, dates, etc'!$R$258:$R$266,"Tuition (Summer)",'rates, dates, etc'!U258:U266))</f>
        <v>0</v>
      </c>
      <c r="R70" s="4">
        <f>(SUMIF('rates, dates, etc'!$R$258:$R$266,"Tuition (Fall)",'rates, dates, etc'!V258:V266))+
(SUMIF('rates, dates, etc'!$R$258:$R$266,"Tuition (Spring)",'rates, dates, etc'!V258:V266))+
(SUMIF('rates, dates, etc'!$R$258:$R$266,"Tuition (Summer)",'rates, dates, etc'!V258:V266))</f>
        <v>0</v>
      </c>
      <c r="S70" s="4">
        <f>(SUMIF('rates, dates, etc'!$R$258:$R$266,"Tuition (Fall)",'rates, dates, etc'!W258:W266))+
(SUMIF('rates, dates, etc'!$R$258:$R$266,"Tuition (Spring)",'rates, dates, etc'!W258:W266))+
(SUMIF('rates, dates, etc'!$R$258:$R$266,"Tuition (Summer)",'rates, dates, etc'!W258:W266))</f>
        <v>0</v>
      </c>
      <c r="T70" s="4">
        <f>(SUMIF('rates, dates, etc'!$R$258:$R$266,"Tuition (Fall)",'rates, dates, etc'!X258:X266))+
(SUMIF('rates, dates, etc'!$R$258:$R$266,"Tuition (Spring)",'rates, dates, etc'!X258:X266))+
(SUMIF('rates, dates, etc'!$R$258:$R$266,"Tuition (Summer)",'rates, dates, etc'!X258:X266))</f>
        <v>0</v>
      </c>
      <c r="U70" s="4">
        <f>(SUMIF('rates, dates, etc'!$R$258:$R$266,"Tuition (Fall)",'rates, dates, etc'!Y258:Y266))+
(SUMIF('rates, dates, etc'!$R$258:$R$266,"Tuition (Spring)",'rates, dates, etc'!Y258:Y266))+
(SUMIF('rates, dates, etc'!$R$258:$R$266,"Tuition (Summer)",'rates, dates, etc'!Y258:Y266))</f>
        <v>0</v>
      </c>
      <c r="V70" s="4">
        <f>(SUMIF('rates, dates, etc'!$R$258:$R$266,"Tuition (Fall)",'rates, dates, etc'!Z258:Z266))+
(SUMIF('rates, dates, etc'!$R$258:$R$266,"Tuition (Spring)",'rates, dates, etc'!Z258:Z266))+
(SUMIF('rates, dates, etc'!$R$258:$R$266,"Tuition (Summer)",'rates, dates, etc'!Z258:Z266))</f>
        <v>0</v>
      </c>
      <c r="W70" s="4">
        <f>(SUMIF('rates, dates, etc'!$R$258:$R$266,"Tuition (Fall)",'rates, dates, etc'!AA258:AA266))+
(SUMIF('rates, dates, etc'!$R$258:$R$266,"Tuition (Spring)",'rates, dates, etc'!AA258:AA266))+
(SUMIF('rates, dates, etc'!$R$258:$R$266,"Tuition (Summer)",'rates, dates, etc'!AA258:AA266))</f>
        <v>0</v>
      </c>
      <c r="X70" s="4">
        <f>(SUMIF('rates, dates, etc'!$R$258:$R$266,"Tuition (Fall)",'rates, dates, etc'!AB258:AB266))+
(SUMIF('rates, dates, etc'!$R$258:$R$266,"Tuition (Spring)",'rates, dates, etc'!AB258:AB266))+
(SUMIF('rates, dates, etc'!$R$258:$R$266,"Tuition (Summer)",'rates, dates, etc'!AB258:AB266))</f>
        <v>0</v>
      </c>
    </row>
    <row r="71" spans="1:26" x14ac:dyDescent="0.2">
      <c r="N71" s="3" t="s">
        <v>9</v>
      </c>
      <c r="O71" s="4">
        <f>(SUMIF('rates, dates, etc'!$R$258:$R$266,"Health Insurance (Fall)",'rates, dates, etc'!S258:S266))+
(SUMIF('rates, dates, etc'!$R$258:$R$266,"Health Insurance (Spring)",'rates, dates, etc'!S258:S266))+
(SUMIF('rates, dates, etc'!$R$258:$R$266,"Health Insurance (Summer)",'rates, dates, etc'!S258:S266))</f>
        <v>0</v>
      </c>
      <c r="P71" s="4">
        <f>(SUMIF('rates, dates, etc'!$R$258:$R$266,"Health Insurance (Fall)",'rates, dates, etc'!T258:T266))+
(SUMIF('rates, dates, etc'!$R$258:$R$266,"Health Insurance (Spring)",'rates, dates, etc'!T258:T266))+
(SUMIF('rates, dates, etc'!$R$258:$R$266,"Health Insurance (Summer)",'rates, dates, etc'!T258:T266))</f>
        <v>0</v>
      </c>
      <c r="Q71" s="4">
        <f>(SUMIF('rates, dates, etc'!$R$258:$R$266,"Health Insurance (Fall)",'rates, dates, etc'!U258:U266))+
(SUMIF('rates, dates, etc'!$R$258:$R$266,"Health Insurance (Spring)",'rates, dates, etc'!U258:U266))+
(SUMIF('rates, dates, etc'!$R$258:$R$266,"Health Insurance (Summer)",'rates, dates, etc'!U258:U266))</f>
        <v>0</v>
      </c>
      <c r="R71" s="4">
        <f>(SUMIF('rates, dates, etc'!$R$258:$R$266,"Health Insurance (Fall)",'rates, dates, etc'!V258:V266))+
(SUMIF('rates, dates, etc'!$R$258:$R$266,"Health Insurance (Spring)",'rates, dates, etc'!V258:V266))+
(SUMIF('rates, dates, etc'!$R$258:$R$266,"Health Insurance (Summer)",'rates, dates, etc'!V258:V266))</f>
        <v>0</v>
      </c>
      <c r="S71" s="4">
        <f>(SUMIF('rates, dates, etc'!$R$258:$R$266,"Health Insurance (Fall)",'rates, dates, etc'!W258:W266))+
(SUMIF('rates, dates, etc'!$R$258:$R$266,"Health Insurance (Spring)",'rates, dates, etc'!W258:W266))+
(SUMIF('rates, dates, etc'!$R$258:$R$266,"Health Insurance (Summer)",'rates, dates, etc'!W258:W266))</f>
        <v>0</v>
      </c>
      <c r="T71" s="4">
        <f>(SUMIF('rates, dates, etc'!$R$258:$R$266,"Health Insurance (Fall)",'rates, dates, etc'!X258:X266))+
(SUMIF('rates, dates, etc'!$R$258:$R$266,"Health Insurance (Spring)",'rates, dates, etc'!X258:X266))+
(SUMIF('rates, dates, etc'!$R$258:$R$266,"Health Insurance (Summer)",'rates, dates, etc'!X258:X266))</f>
        <v>0</v>
      </c>
      <c r="U71" s="4">
        <f>(SUMIF('rates, dates, etc'!$R$258:$R$266,"Health Insurance (Fall)",'rates, dates, etc'!Y258:Y266))+
(SUMIF('rates, dates, etc'!$R$258:$R$266,"Health Insurance (Spring)",'rates, dates, etc'!Y258:Y266))+
(SUMIF('rates, dates, etc'!$R$258:$R$266,"Health Insurance (Summer)",'rates, dates, etc'!Y258:Y266))</f>
        <v>0</v>
      </c>
      <c r="V71" s="4">
        <f>(SUMIF('rates, dates, etc'!$R$258:$R$266,"Health Insurance (Fall)",'rates, dates, etc'!Z258:Z266))+
(SUMIF('rates, dates, etc'!$R$258:$R$266,"Health Insurance (Spring)",'rates, dates, etc'!Z258:Z266))+
(SUMIF('rates, dates, etc'!$R$258:$R$266,"Health Insurance (Summer)",'rates, dates, etc'!Z258:Z266))</f>
        <v>0</v>
      </c>
      <c r="W71" s="4">
        <f>(SUMIF('rates, dates, etc'!$R$258:$R$266,"Health Insurance (Fall)",'rates, dates, etc'!AA258:AA266))+
(SUMIF('rates, dates, etc'!$R$258:$R$266,"Health Insurance (Spring)",'rates, dates, etc'!AA258:AA266))+
(SUMIF('rates, dates, etc'!$R$258:$R$266,"Health Insurance (Summer)",'rates, dates, etc'!AA258:AA266))</f>
        <v>0</v>
      </c>
      <c r="X71" s="4">
        <f>(SUMIF('rates, dates, etc'!$R$258:$R$266,"Health Insurance (Fall)",'rates, dates, etc'!AB258:AB266))+
(SUMIF('rates, dates, etc'!$R$258:$R$266,"Health Insurance (Spring)",'rates, dates, etc'!AB258:AB266))+
(SUMIF('rates, dates, etc'!$R$258:$R$266,"Health Insurance (Summer)",'rates, dates, etc'!AB258:AB266))</f>
        <v>0</v>
      </c>
    </row>
    <row r="72" spans="1:26" ht="12" thickBot="1" x14ac:dyDescent="0.25">
      <c r="N72" s="13" t="s">
        <v>31</v>
      </c>
      <c r="O72" s="16">
        <f>SUM(O68:O71)</f>
        <v>0</v>
      </c>
      <c r="P72" s="16">
        <f>SUM(P68:P71)</f>
        <v>0</v>
      </c>
      <c r="Q72" s="16">
        <f>SUM(Q68:Q71)</f>
        <v>0</v>
      </c>
      <c r="R72" s="16">
        <f>SUM(R68:R71)</f>
        <v>0</v>
      </c>
      <c r="S72" s="16">
        <f>SUM(S68:S71)</f>
        <v>0</v>
      </c>
      <c r="T72" s="16">
        <f t="shared" ref="T72:X72" si="42">SUM(T68:T71)</f>
        <v>0</v>
      </c>
      <c r="U72" s="16">
        <f t="shared" si="42"/>
        <v>0</v>
      </c>
      <c r="V72" s="16">
        <f t="shared" si="42"/>
        <v>0</v>
      </c>
      <c r="W72" s="16">
        <f t="shared" si="42"/>
        <v>0</v>
      </c>
      <c r="X72" s="16">
        <f t="shared" si="42"/>
        <v>0</v>
      </c>
    </row>
    <row r="76" spans="1:26" x14ac:dyDescent="0.2">
      <c r="N76" s="44" t="s">
        <v>33</v>
      </c>
    </row>
    <row r="77" spans="1:26" x14ac:dyDescent="0.2">
      <c r="N77" s="64" t="s">
        <v>103</v>
      </c>
      <c r="O77" s="65" t="str">
        <f>+'rates, dates, etc'!AE5</f>
        <v>FY2026</v>
      </c>
      <c r="P77" s="65" t="str">
        <f>+'rates, dates, etc'!AF5</f>
        <v>FY2027</v>
      </c>
      <c r="Q77" s="65" t="str">
        <f>+'rates, dates, etc'!AG5</f>
        <v>FY2028</v>
      </c>
      <c r="R77" s="65" t="str">
        <f>+'rates, dates, etc'!AH5</f>
        <v>FY2029</v>
      </c>
      <c r="S77" s="65" t="str">
        <f>+'rates, dates, etc'!AI5</f>
        <v>FY2030</v>
      </c>
      <c r="T77" s="65" t="str">
        <f>+'rates, dates, etc'!AJ5</f>
        <v>FY2031</v>
      </c>
      <c r="U77" s="65" t="str">
        <f>+'rates, dates, etc'!AK5</f>
        <v>FY2032</v>
      </c>
      <c r="V77" s="65" t="str">
        <f>+'rates, dates, etc'!AL5</f>
        <v>FY2033</v>
      </c>
      <c r="W77" s="65" t="str">
        <f>+'rates, dates, etc'!AM5</f>
        <v>FY2034</v>
      </c>
      <c r="X77" s="65" t="str">
        <f>+'rates, dates, etc'!AN5</f>
        <v>FY2035</v>
      </c>
      <c r="Y77" s="65" t="str">
        <f>+'rates, dates, etc'!AO5</f>
        <v>FY2036</v>
      </c>
      <c r="Z77" s="65" t="str">
        <f>+'rates, dates, etc'!AP5</f>
        <v>FY2037</v>
      </c>
    </row>
    <row r="78" spans="1:26" x14ac:dyDescent="0.2">
      <c r="N78" s="2" t="str">
        <f>+'rates, dates, etc'!A200</f>
        <v xml:space="preserve">   Endowed - Senior Personnel</v>
      </c>
      <c r="O78" s="9">
        <f>IF('rates, dates, etc'!B199='rates, dates, etc'!AE5,'rates, dates, etc'!B200,'rates, dates, etc'!C200)</f>
        <v>0.35</v>
      </c>
      <c r="P78" s="9">
        <f>IF('rates, dates, etc'!C199='rates, dates, etc'!AF5,'rates, dates, etc'!C200,'rates, dates, etc'!D200)</f>
        <v>0.35499999999999998</v>
      </c>
      <c r="Q78" s="9">
        <f>IF('rates, dates, etc'!D199='rates, dates, etc'!AG5,'rates, dates, etc'!D200,'rates, dates, etc'!E200)</f>
        <v>0.37</v>
      </c>
      <c r="R78" s="9">
        <f>IF('rates, dates, etc'!E199='rates, dates, etc'!AH5,'rates, dates, etc'!E200,'rates, dates, etc'!F200)</f>
        <v>0.37</v>
      </c>
      <c r="S78" s="9">
        <f>IF('rates, dates, etc'!F199='rates, dates, etc'!AI5,'rates, dates, etc'!F200,'rates, dates, etc'!G200)</f>
        <v>0.37</v>
      </c>
      <c r="T78" s="9">
        <f>IF('rates, dates, etc'!G199='rates, dates, etc'!AJ5,'rates, dates, etc'!G200,'rates, dates, etc'!H200)</f>
        <v>0.37</v>
      </c>
      <c r="U78" s="9">
        <f>IF('rates, dates, etc'!H199='rates, dates, etc'!AK5,'rates, dates, etc'!H200,'rates, dates, etc'!I200)</f>
        <v>0.37</v>
      </c>
      <c r="V78" s="9">
        <f>IF('rates, dates, etc'!I199='rates, dates, etc'!AL5,'rates, dates, etc'!I200,'rates, dates, etc'!J200)</f>
        <v>0.37</v>
      </c>
      <c r="W78" s="9">
        <f>IF('rates, dates, etc'!J199='rates, dates, etc'!AM5,'rates, dates, etc'!J200,'rates, dates, etc'!K200)</f>
        <v>0.37</v>
      </c>
      <c r="X78" s="9">
        <f>IF('rates, dates, etc'!K199='rates, dates, etc'!AN5,'rates, dates, etc'!K200,'rates, dates, etc'!L200)</f>
        <v>0.37</v>
      </c>
      <c r="Y78" s="9">
        <f>IF('rates, dates, etc'!L199='rates, dates, etc'!AO5,'rates, dates, etc'!L200,'rates, dates, etc'!M200)</f>
        <v>0.37</v>
      </c>
      <c r="Z78" s="9"/>
    </row>
    <row r="79" spans="1:26" x14ac:dyDescent="0.2">
      <c r="O79" s="1"/>
      <c r="P79" s="1"/>
    </row>
    <row r="80" spans="1:26" x14ac:dyDescent="0.2">
      <c r="N80" s="64" t="s">
        <v>104</v>
      </c>
      <c r="O80" s="45" t="str">
        <f>+'rates, dates, etc'!AE4</f>
        <v>FY2025</v>
      </c>
      <c r="P80" s="45" t="str">
        <f>+'rates, dates, etc'!AF4</f>
        <v>FY2026</v>
      </c>
      <c r="Q80" s="45" t="str">
        <f>+'rates, dates, etc'!AG4</f>
        <v>FY2027</v>
      </c>
      <c r="R80" s="45" t="str">
        <f>+'rates, dates, etc'!AH4</f>
        <v>FY2028</v>
      </c>
      <c r="S80" s="45" t="str">
        <f>+'rates, dates, etc'!AI4</f>
        <v>FY2029</v>
      </c>
      <c r="T80" s="45" t="str">
        <f>+'rates, dates, etc'!AJ4</f>
        <v>FY2030</v>
      </c>
      <c r="U80" s="45" t="str">
        <f>+'rates, dates, etc'!AK4</f>
        <v>FY2031</v>
      </c>
      <c r="V80" s="45" t="str">
        <f>+'rates, dates, etc'!AL4</f>
        <v>FY2032</v>
      </c>
      <c r="W80" s="45" t="str">
        <f>+'rates, dates, etc'!AM4</f>
        <v>FY2033</v>
      </c>
      <c r="X80" s="45" t="str">
        <f>+'rates, dates, etc'!AN4</f>
        <v>FY2034</v>
      </c>
      <c r="Y80" s="45" t="str">
        <f>+'rates, dates, etc'!AO4</f>
        <v>FY2035</v>
      </c>
      <c r="Z80" s="45" t="str">
        <f>+'rates, dates, etc'!AP4</f>
        <v>FY2036</v>
      </c>
    </row>
    <row r="81" spans="14:26" x14ac:dyDescent="0.2">
      <c r="N81" s="2" t="str">
        <f>+'rates, dates, etc'!A200</f>
        <v xml:space="preserve">   Endowed - Senior Personnel</v>
      </c>
      <c r="O81" s="123">
        <f>+'rates, dates, etc'!B200</f>
        <v>0.35</v>
      </c>
      <c r="P81" s="123">
        <f>+'rates, dates, etc'!C200</f>
        <v>0.35</v>
      </c>
      <c r="Q81" s="123">
        <f>+'rates, dates, etc'!D200</f>
        <v>0.35499999999999998</v>
      </c>
      <c r="R81" s="123">
        <f>+'rates, dates, etc'!E200</f>
        <v>0.37</v>
      </c>
      <c r="S81" s="123">
        <f>+'rates, dates, etc'!F200</f>
        <v>0.37</v>
      </c>
      <c r="T81" s="123">
        <f>+'rates, dates, etc'!G200</f>
        <v>0.37</v>
      </c>
      <c r="U81" s="123">
        <f>+'rates, dates, etc'!H200</f>
        <v>0.37</v>
      </c>
      <c r="V81" s="123">
        <f>+'rates, dates, etc'!I200</f>
        <v>0.37</v>
      </c>
      <c r="W81" s="123">
        <f>+'rates, dates, etc'!J200</f>
        <v>0.37</v>
      </c>
      <c r="X81" s="123">
        <f>+'rates, dates, etc'!K200</f>
        <v>0.37</v>
      </c>
      <c r="Y81" s="123">
        <f>+'rates, dates, etc'!L200</f>
        <v>0.37</v>
      </c>
      <c r="Z81" s="123">
        <f>+'rates, dates, etc'!M200</f>
        <v>0.37</v>
      </c>
    </row>
    <row r="82" spans="14:26" x14ac:dyDescent="0.2">
      <c r="N82" s="2" t="str">
        <f>+'rates, dates, etc'!A201</f>
        <v xml:space="preserve">   Endowed - Post Doc</v>
      </c>
      <c r="O82" s="1">
        <f>+'rates, dates, etc'!B201</f>
        <v>0.35</v>
      </c>
      <c r="P82" s="1">
        <f>+'rates, dates, etc'!C201</f>
        <v>0.35</v>
      </c>
      <c r="Q82" s="1">
        <f>+'rates, dates, etc'!D201</f>
        <v>0.35499999999999998</v>
      </c>
      <c r="R82" s="1">
        <f>+'rates, dates, etc'!E201</f>
        <v>0.37</v>
      </c>
      <c r="S82" s="1">
        <f>+'rates, dates, etc'!F201</f>
        <v>0.37</v>
      </c>
      <c r="T82" s="1">
        <f>+'rates, dates, etc'!G201</f>
        <v>0.37</v>
      </c>
      <c r="U82" s="1">
        <f>+'rates, dates, etc'!H201</f>
        <v>0.37</v>
      </c>
      <c r="V82" s="1">
        <f>+'rates, dates, etc'!I201</f>
        <v>0.37</v>
      </c>
      <c r="W82" s="1">
        <f>+'rates, dates, etc'!J201</f>
        <v>0.37</v>
      </c>
      <c r="X82" s="1">
        <f>+'rates, dates, etc'!K201</f>
        <v>0.37</v>
      </c>
      <c r="Y82" s="1">
        <f>+'rates, dates, etc'!L201</f>
        <v>0.37</v>
      </c>
      <c r="Z82" s="1">
        <f>+'rates, dates, etc'!M201</f>
        <v>0.37</v>
      </c>
    </row>
    <row r="83" spans="14:26" x14ac:dyDescent="0.2">
      <c r="N83" s="2" t="str">
        <f>+'rates, dates, etc'!A202</f>
        <v xml:space="preserve">   Endowed - Other Employee</v>
      </c>
      <c r="O83" s="1">
        <f>+'rates, dates, etc'!B202</f>
        <v>0.35</v>
      </c>
      <c r="P83" s="1">
        <f>+'rates, dates, etc'!C202</f>
        <v>0.35</v>
      </c>
      <c r="Q83" s="1">
        <f>+'rates, dates, etc'!D202</f>
        <v>0.35499999999999998</v>
      </c>
      <c r="R83" s="1">
        <f>+'rates, dates, etc'!E202</f>
        <v>0.37</v>
      </c>
      <c r="S83" s="1">
        <f>+'rates, dates, etc'!F202</f>
        <v>0.37</v>
      </c>
      <c r="T83" s="1">
        <f>+'rates, dates, etc'!G202</f>
        <v>0.37</v>
      </c>
      <c r="U83" s="1">
        <f>+'rates, dates, etc'!H202</f>
        <v>0.37</v>
      </c>
      <c r="V83" s="1">
        <f>+'rates, dates, etc'!I202</f>
        <v>0.37</v>
      </c>
      <c r="W83" s="1">
        <f>+'rates, dates, etc'!J202</f>
        <v>0.37</v>
      </c>
      <c r="X83" s="1">
        <f>+'rates, dates, etc'!K202</f>
        <v>0.37</v>
      </c>
      <c r="Y83" s="1">
        <f>+'rates, dates, etc'!L202</f>
        <v>0.37</v>
      </c>
      <c r="Z83" s="1">
        <f>+'rates, dates, etc'!M202</f>
        <v>0.37</v>
      </c>
    </row>
    <row r="85" spans="14:26" x14ac:dyDescent="0.2">
      <c r="N85" s="64" t="str">
        <f>+'rates, dates, etc'!A42</f>
        <v/>
      </c>
      <c r="O85" s="1" t="str">
        <f>+'rates, dates, etc'!B42</f>
        <v/>
      </c>
      <c r="P85" s="1" t="str">
        <f>+'rates, dates, etc'!C42</f>
        <v/>
      </c>
      <c r="Q85" s="1" t="str">
        <f>+'rates, dates, etc'!D42</f>
        <v/>
      </c>
      <c r="R85" s="1" t="str">
        <f>+'rates, dates, etc'!E42</f>
        <v/>
      </c>
      <c r="S85" s="1" t="str">
        <f>+'rates, dates, etc'!F42</f>
        <v/>
      </c>
      <c r="T85" s="1" t="str">
        <f>+'rates, dates, etc'!G42</f>
        <v/>
      </c>
      <c r="U85" s="1" t="str">
        <f>+'rates, dates, etc'!H42</f>
        <v/>
      </c>
      <c r="V85" s="1" t="str">
        <f>+'rates, dates, etc'!I42</f>
        <v/>
      </c>
      <c r="W85" s="1" t="str">
        <f>+'rates, dates, etc'!J42</f>
        <v/>
      </c>
      <c r="X85" s="1" t="str">
        <f>+'rates, dates, etc'!K42</f>
        <v/>
      </c>
      <c r="Y85" s="1" t="str">
        <f>+'rates, dates, etc'!L42</f>
        <v/>
      </c>
      <c r="Z85" s="1" t="str">
        <f>+'rates, dates, etc'!M42</f>
        <v/>
      </c>
    </row>
    <row r="86" spans="14:26" x14ac:dyDescent="0.2">
      <c r="N86" s="64" t="str">
        <f>+'rates, dates, etc'!A203</f>
        <v>Cornell IDC Rate - Endowed College</v>
      </c>
      <c r="O86" s="1">
        <f>+'rates, dates, etc'!B203</f>
        <v>0.64</v>
      </c>
      <c r="P86" s="1">
        <f>+'rates, dates, etc'!C203</f>
        <v>0.64</v>
      </c>
      <c r="Q86" s="1">
        <f>+'rates, dates, etc'!D203</f>
        <v>0.64</v>
      </c>
      <c r="R86" s="1">
        <f>+'rates, dates, etc'!E203</f>
        <v>0.64</v>
      </c>
      <c r="S86" s="1">
        <f>+'rates, dates, etc'!F203</f>
        <v>0.64</v>
      </c>
      <c r="T86" s="1">
        <f>+'rates, dates, etc'!G203</f>
        <v>0.64</v>
      </c>
      <c r="U86" s="1">
        <f>+'rates, dates, etc'!H203</f>
        <v>0.64</v>
      </c>
      <c r="V86" s="1">
        <f>+'rates, dates, etc'!I203</f>
        <v>0.64</v>
      </c>
      <c r="W86" s="1">
        <f>+'rates, dates, etc'!J203</f>
        <v>0.64</v>
      </c>
      <c r="X86" s="1">
        <f>+'rates, dates, etc'!K203</f>
        <v>0.64</v>
      </c>
      <c r="Y86" s="1">
        <f>+'rates, dates, etc'!L203</f>
        <v>0.64</v>
      </c>
      <c r="Z86" s="1">
        <f>+'rates, dates, etc'!M203</f>
        <v>0.64</v>
      </c>
    </row>
    <row r="87" spans="14:26" x14ac:dyDescent="0.2">
      <c r="S87" s="5"/>
      <c r="T87" s="5"/>
    </row>
    <row r="88" spans="14:26" x14ac:dyDescent="0.2">
      <c r="N88" s="47" t="str">
        <f>+'rates, dates, etc'!O40</f>
        <v>Pro-rating factor for 12 month appts.:</v>
      </c>
      <c r="O88" s="9" t="s">
        <v>36</v>
      </c>
      <c r="P88" s="9" t="s">
        <v>52</v>
      </c>
      <c r="S88" s="5"/>
      <c r="T88" s="5"/>
    </row>
    <row r="89" spans="14:26" x14ac:dyDescent="0.2">
      <c r="N89" s="48" t="s">
        <v>46</v>
      </c>
      <c r="O89" s="44">
        <f>+'rates, dates, etc'!P41</f>
        <v>6</v>
      </c>
      <c r="P89" s="44">
        <f>+'rates, dates, etc'!Q41</f>
        <v>0.5</v>
      </c>
      <c r="S89" s="5"/>
      <c r="T89" s="5"/>
    </row>
    <row r="90" spans="14:26" x14ac:dyDescent="0.2">
      <c r="N90" s="48" t="s">
        <v>47</v>
      </c>
      <c r="O90" s="44">
        <f>+'rates, dates, etc'!P42</f>
        <v>6</v>
      </c>
      <c r="P90" s="44">
        <f>+'rates, dates, etc'!Q42</f>
        <v>0.5</v>
      </c>
    </row>
    <row r="91" spans="14:26" x14ac:dyDescent="0.2">
      <c r="N91" s="46"/>
      <c r="O91" s="49">
        <f>SUM(O89:O90)</f>
        <v>12</v>
      </c>
      <c r="P91" s="1" t="s">
        <v>83</v>
      </c>
    </row>
    <row r="92" spans="14:26" x14ac:dyDescent="0.2">
      <c r="N92" s="1"/>
      <c r="O92" s="1"/>
      <c r="P92" s="1"/>
    </row>
    <row r="93" spans="14:26" x14ac:dyDescent="0.2">
      <c r="N93" s="1"/>
      <c r="O93" s="1"/>
      <c r="P93" s="1"/>
    </row>
    <row r="94" spans="14:26" x14ac:dyDescent="0.2">
      <c r="N94" s="1"/>
      <c r="O94" s="1"/>
      <c r="P94" s="1"/>
    </row>
    <row r="95" spans="14:26" x14ac:dyDescent="0.2">
      <c r="P95" s="1"/>
    </row>
  </sheetData>
  <pageMargins left="0.75" right="0.53" top="0.7" bottom="0.64" header="0.5" footer="0.5"/>
  <pageSetup scale="95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B99C9931-04BC-40C0-9D4F-361CC85E1418}">
            <xm:f>'rates, dates, etc'!$B$8="Yes"</xm:f>
            <x14:dxf/>
          </x14:cfRule>
          <x14:cfRule type="expression" priority="2" id="{D01B09B6-1765-418D-800D-FBD29CAD2DAA}">
            <xm:f>'Budget Summary'!$L$103&lt;'Budget Summary'!$L$104</xm:f>
            <x14:dxf>
              <font>
                <color rgb="FFFF0000"/>
              </font>
            </x14:dxf>
          </x14:cfRule>
          <xm:sqref>A63:L63</xm:sqref>
        </x14:conditionalFormatting>
        <x14:conditionalFormatting xmlns:xm="http://schemas.microsoft.com/office/excel/2006/main">
          <x14:cfRule type="expression" priority="3" stopIfTrue="1" id="{14D59ECA-DF59-4E54-988A-31474EB6494E}">
            <xm:f>'rates, dates, etc'!$B$8="Yes"</xm:f>
            <x14:dxf>
              <font>
                <color rgb="FFFF0000"/>
              </font>
            </x14:dxf>
          </x14:cfRule>
          <x14:cfRule type="expression" priority="4" id="{6BC18B8F-4329-44E5-A746-B2F20C59724A}">
            <xm:f>'Budget Summary'!$L$104&lt;'Budget Summary'!$L$103</xm:f>
            <x14:dxf>
              <font>
                <color rgb="FFFF0000"/>
              </font>
            </x14:dxf>
          </x14:cfRule>
          <xm:sqref>A64:L64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1:Z91"/>
  <sheetViews>
    <sheetView topLeftCell="A18" zoomScale="130" zoomScaleNormal="130" workbookViewId="0">
      <selection activeCell="A47" sqref="A47"/>
    </sheetView>
  </sheetViews>
  <sheetFormatPr defaultColWidth="9.140625" defaultRowHeight="11.25" x14ac:dyDescent="0.2"/>
  <cols>
    <col min="1" max="1" width="33.42578125" style="1" customWidth="1"/>
    <col min="2" max="11" width="8.42578125" style="1" customWidth="1"/>
    <col min="12" max="12" width="9.5703125" style="2" bestFit="1" customWidth="1"/>
    <col min="13" max="13" width="11" style="2" customWidth="1"/>
    <col min="14" max="14" width="29.140625" style="2" customWidth="1"/>
    <col min="15" max="16" width="9.85546875" style="2" customWidth="1"/>
    <col min="17" max="18" width="9.7109375" style="1" customWidth="1"/>
    <col min="19" max="16384" width="9.140625" style="1"/>
  </cols>
  <sheetData>
    <row r="1" spans="1:13" ht="12.75" x14ac:dyDescent="0.2">
      <c r="A1" s="67">
        <f>+'rates, dates, etc'!B4</f>
        <v>0</v>
      </c>
      <c r="D1" s="56"/>
    </row>
    <row r="2" spans="1:13" ht="12.75" x14ac:dyDescent="0.2">
      <c r="A2" s="67" t="str">
        <f>+'rates, dates, etc'!B3</f>
        <v>NSF</v>
      </c>
      <c r="M2" s="56"/>
    </row>
    <row r="3" spans="1:13" ht="12.75" customHeight="1" thickBot="1" x14ac:dyDescent="0.25"/>
    <row r="4" spans="1:13" x14ac:dyDescent="0.2">
      <c r="A4" s="68" t="str">
        <f ca="1">CONCATENATE("Cornell University - ",'rates, dates, etc'!A17)</f>
        <v>Cornell University - Co-PI Budget (3)</v>
      </c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242"/>
    </row>
    <row r="5" spans="1:13" ht="12" thickBot="1" x14ac:dyDescent="0.25">
      <c r="A5" s="68" t="str">
        <f>CONCATENATE("Co-PI: ",'rates, dates, etc'!B17)</f>
        <v>Co-PI: Co-PI</v>
      </c>
      <c r="B5" s="243">
        <f>+'rates, dates, etc'!B5</f>
        <v>45658</v>
      </c>
      <c r="C5" s="243">
        <f>+B6+1</f>
        <v>46023</v>
      </c>
      <c r="D5" s="243">
        <f t="shared" ref="D5:G5" si="0">+C6+1</f>
        <v>46388</v>
      </c>
      <c r="E5" s="243">
        <f t="shared" si="0"/>
        <v>46753</v>
      </c>
      <c r="F5" s="243">
        <f t="shared" si="0"/>
        <v>47119</v>
      </c>
      <c r="G5" s="243">
        <f t="shared" si="0"/>
        <v>47484</v>
      </c>
      <c r="H5" s="243">
        <f t="shared" ref="H5" si="1">+G6+1</f>
        <v>47849</v>
      </c>
      <c r="I5" s="243">
        <f t="shared" ref="I5" si="2">+H6+1</f>
        <v>48214</v>
      </c>
      <c r="J5" s="243">
        <f t="shared" ref="J5" si="3">+I6+1</f>
        <v>48580</v>
      </c>
      <c r="K5" s="243">
        <f t="shared" ref="K5" si="4">+J6+1</f>
        <v>48945</v>
      </c>
      <c r="L5" s="244"/>
    </row>
    <row r="6" spans="1:13" ht="12" thickBot="1" x14ac:dyDescent="0.25">
      <c r="A6" s="71" t="s">
        <v>4</v>
      </c>
      <c r="B6" s="245">
        <f>DATE(YEAR(B5), MONTH(B5) + 12, DAY(B5))-1</f>
        <v>46022</v>
      </c>
      <c r="C6" s="245">
        <f t="shared" ref="C6:G6" si="5">DATE(YEAR(C5), MONTH(C5) + 12, DAY(C5))-1</f>
        <v>46387</v>
      </c>
      <c r="D6" s="245">
        <f t="shared" si="5"/>
        <v>46752</v>
      </c>
      <c r="E6" s="245">
        <f t="shared" si="5"/>
        <v>47118</v>
      </c>
      <c r="F6" s="245">
        <f t="shared" si="5"/>
        <v>47483</v>
      </c>
      <c r="G6" s="245">
        <f t="shared" si="5"/>
        <v>47848</v>
      </c>
      <c r="H6" s="245">
        <f t="shared" ref="H6:K6" si="6">DATE(YEAR(H5), MONTH(H5) + 12, DAY(H5))-1</f>
        <v>48213</v>
      </c>
      <c r="I6" s="245">
        <f t="shared" si="6"/>
        <v>48579</v>
      </c>
      <c r="J6" s="245">
        <f t="shared" si="6"/>
        <v>48944</v>
      </c>
      <c r="K6" s="245">
        <f t="shared" si="6"/>
        <v>49309</v>
      </c>
      <c r="L6" s="262" t="s">
        <v>5</v>
      </c>
    </row>
    <row r="7" spans="1:13" x14ac:dyDescent="0.2">
      <c r="A7" s="74" t="s">
        <v>111</v>
      </c>
      <c r="L7" s="8" t="s">
        <v>6</v>
      </c>
    </row>
    <row r="8" spans="1:13" x14ac:dyDescent="0.2">
      <c r="A8" s="3" t="str">
        <f>+'rates, dates, etc'!A291</f>
        <v>Co-PI</v>
      </c>
      <c r="B8" s="17">
        <f>HLOOKUP(B$4,'rates, dates, etc'!B290:I296,7,FALSE)</f>
        <v>0</v>
      </c>
      <c r="C8" s="17">
        <f>HLOOKUP(C$4,'rates, dates, etc'!C290:O296,7,FALSE)</f>
        <v>0</v>
      </c>
      <c r="D8" s="17">
        <f>HLOOKUP(D$4,'rates, dates, etc'!D290:P296,7,FALSE)</f>
        <v>0</v>
      </c>
      <c r="E8" s="17">
        <f>HLOOKUP(E$4,'rates, dates, etc'!E290:Q296,7,FALSE)</f>
        <v>0</v>
      </c>
      <c r="F8" s="17">
        <f>HLOOKUP(F$4,'rates, dates, etc'!F290:R296,7,FALSE)</f>
        <v>0</v>
      </c>
      <c r="G8" s="17">
        <f>HLOOKUP(G$4,'rates, dates, etc'!G290:S296,7,FALSE)</f>
        <v>0</v>
      </c>
      <c r="H8" s="17">
        <f>HLOOKUP(H$4,'rates, dates, etc'!H290:T296,7,FALSE)</f>
        <v>0</v>
      </c>
      <c r="I8" s="17">
        <f>HLOOKUP(I$4,'rates, dates, etc'!I290:U296,7,FALSE)</f>
        <v>0</v>
      </c>
      <c r="J8" s="17">
        <f>HLOOKUP(J$4,'rates, dates, etc'!J290:V296,7,FALSE)</f>
        <v>0</v>
      </c>
      <c r="K8" s="17">
        <f>HLOOKUP(K$4,'rates, dates, etc'!K290:W296,7,FALSE)</f>
        <v>0</v>
      </c>
      <c r="L8" s="83">
        <f>SUM(B8:K8)</f>
        <v>0</v>
      </c>
    </row>
    <row r="9" spans="1:13" x14ac:dyDescent="0.2">
      <c r="A9" s="3" t="str">
        <f>+'rates, dates, etc'!A299</f>
        <v>Co-PI</v>
      </c>
      <c r="B9" s="17">
        <f>HLOOKUP(B$4,'rates, dates, etc'!B298:I304,7,FALSE)</f>
        <v>0</v>
      </c>
      <c r="C9" s="17">
        <f>HLOOKUP(C$4,'rates, dates, etc'!C298:O304,7,FALSE)</f>
        <v>0</v>
      </c>
      <c r="D9" s="17">
        <f>HLOOKUP(D$4,'rates, dates, etc'!D298:P304,7,FALSE)</f>
        <v>0</v>
      </c>
      <c r="E9" s="17">
        <f>HLOOKUP(E$4,'rates, dates, etc'!E298:Q304,7,FALSE)</f>
        <v>0</v>
      </c>
      <c r="F9" s="17">
        <f>HLOOKUP(F$4,'rates, dates, etc'!F298:R304,7,FALSE)</f>
        <v>0</v>
      </c>
      <c r="G9" s="17">
        <f>HLOOKUP(G$4,'rates, dates, etc'!G298:S304,7,FALSE)</f>
        <v>0</v>
      </c>
      <c r="H9" s="17">
        <f>HLOOKUP(H$4,'rates, dates, etc'!H298:T304,7,FALSE)</f>
        <v>0</v>
      </c>
      <c r="I9" s="17">
        <f>HLOOKUP(I$4,'rates, dates, etc'!I298:U304,7,FALSE)</f>
        <v>0</v>
      </c>
      <c r="J9" s="17">
        <f>HLOOKUP(J$4,'rates, dates, etc'!J298:V304,7,FALSE)</f>
        <v>0</v>
      </c>
      <c r="K9" s="17">
        <f>HLOOKUP(K$4,'rates, dates, etc'!K298:W304,7,FALSE)</f>
        <v>0</v>
      </c>
      <c r="L9" s="83">
        <f t="shared" ref="L9:L10" si="7">SUM(B9:K9)</f>
        <v>0</v>
      </c>
    </row>
    <row r="10" spans="1:13" x14ac:dyDescent="0.2">
      <c r="A10" s="3" t="str">
        <f>+'rates, dates, etc'!A307</f>
        <v>Co-PI</v>
      </c>
      <c r="B10" s="17">
        <f>HLOOKUP(B$4,'rates, dates, etc'!B306:I312,7,FALSE)</f>
        <v>0</v>
      </c>
      <c r="C10" s="17">
        <f>HLOOKUP(C$4,'rates, dates, etc'!C306:O312,7,FALSE)</f>
        <v>0</v>
      </c>
      <c r="D10" s="17">
        <f>HLOOKUP(D$4,'rates, dates, etc'!D306:P312,7,FALSE)</f>
        <v>0</v>
      </c>
      <c r="E10" s="17">
        <f>HLOOKUP(E$4,'rates, dates, etc'!E306:Q312,7,FALSE)</f>
        <v>0</v>
      </c>
      <c r="F10" s="17">
        <f>HLOOKUP(F$4,'rates, dates, etc'!F306:R312,7,FALSE)</f>
        <v>0</v>
      </c>
      <c r="G10" s="17">
        <f>HLOOKUP(G$4,'rates, dates, etc'!G306:S312,7,FALSE)</f>
        <v>0</v>
      </c>
      <c r="H10" s="17">
        <f>HLOOKUP(H$4,'rates, dates, etc'!H306:T312,7,FALSE)</f>
        <v>0</v>
      </c>
      <c r="I10" s="17">
        <f>HLOOKUP(I$4,'rates, dates, etc'!I306:U312,7,FALSE)</f>
        <v>0</v>
      </c>
      <c r="J10" s="17">
        <f>HLOOKUP(J$4,'rates, dates, etc'!J306:V312,7,FALSE)</f>
        <v>0</v>
      </c>
      <c r="K10" s="17">
        <f>HLOOKUP(K$4,'rates, dates, etc'!K306:W312,7,FALSE)</f>
        <v>0</v>
      </c>
      <c r="L10" s="83">
        <f t="shared" si="7"/>
        <v>0</v>
      </c>
    </row>
    <row r="11" spans="1:13" ht="12" thickBot="1" x14ac:dyDescent="0.25">
      <c r="A11" s="76" t="str">
        <f>CONCATENATE("Total ",A7)</f>
        <v>Total Senior Personnel Salary</v>
      </c>
      <c r="B11" s="6">
        <f>SUM(B7:B10)</f>
        <v>0</v>
      </c>
      <c r="C11" s="6">
        <f t="shared" ref="C11:F11" si="8">SUM(C7:C10)</f>
        <v>0</v>
      </c>
      <c r="D11" s="6">
        <f t="shared" si="8"/>
        <v>0</v>
      </c>
      <c r="E11" s="6">
        <f t="shared" si="8"/>
        <v>0</v>
      </c>
      <c r="F11" s="6">
        <f t="shared" si="8"/>
        <v>0</v>
      </c>
      <c r="G11" s="6">
        <f t="shared" ref="G11:K11" si="9">SUM(G7:G10)</f>
        <v>0</v>
      </c>
      <c r="H11" s="6">
        <f t="shared" si="9"/>
        <v>0</v>
      </c>
      <c r="I11" s="6">
        <f t="shared" si="9"/>
        <v>0</v>
      </c>
      <c r="J11" s="6">
        <f t="shared" si="9"/>
        <v>0</v>
      </c>
      <c r="K11" s="6">
        <f t="shared" si="9"/>
        <v>0</v>
      </c>
      <c r="L11" s="86">
        <f>SUM(L7:L10)</f>
        <v>0</v>
      </c>
    </row>
    <row r="12" spans="1:13" x14ac:dyDescent="0.2">
      <c r="A12" s="75" t="s">
        <v>112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83"/>
    </row>
    <row r="13" spans="1:13" x14ac:dyDescent="0.2">
      <c r="A13" s="3" t="str">
        <f>+'rates, dates, etc'!A315</f>
        <v>Post Doctoral Scholar(s)</v>
      </c>
      <c r="B13" s="5">
        <f>HLOOKUP(B$4,'rates, dates, etc'!B314:I319,6,FALSE)</f>
        <v>0</v>
      </c>
      <c r="C13" s="5">
        <f>HLOOKUP(C$4,'rates, dates, etc'!C314:O319,6,FALSE)</f>
        <v>0</v>
      </c>
      <c r="D13" s="5">
        <f>HLOOKUP(D$4,'rates, dates, etc'!D314:P319,6,FALSE)</f>
        <v>0</v>
      </c>
      <c r="E13" s="5">
        <f>HLOOKUP(E$4,'rates, dates, etc'!E314:Q319,6,FALSE)</f>
        <v>0</v>
      </c>
      <c r="F13" s="5">
        <f>HLOOKUP(F$4,'rates, dates, etc'!F314:R319,6,FALSE)</f>
        <v>0</v>
      </c>
      <c r="G13" s="5">
        <f>HLOOKUP(G$4,'rates, dates, etc'!G314:S319,6,FALSE)</f>
        <v>0</v>
      </c>
      <c r="H13" s="5">
        <f>HLOOKUP(H$4,'rates, dates, etc'!H314:T319,6,FALSE)</f>
        <v>0</v>
      </c>
      <c r="I13" s="5">
        <f>HLOOKUP(I$4,'rates, dates, etc'!I314:U319,6,FALSE)</f>
        <v>0</v>
      </c>
      <c r="J13" s="5">
        <f>HLOOKUP(J$4,'rates, dates, etc'!J314:V319,6,FALSE)</f>
        <v>0</v>
      </c>
      <c r="K13" s="5">
        <f>HLOOKUP(K$4,'rates, dates, etc'!K314:W319,6,FALSE)</f>
        <v>0</v>
      </c>
      <c r="L13" s="83">
        <f>SUM(B13:K13)</f>
        <v>0</v>
      </c>
    </row>
    <row r="14" spans="1:13" x14ac:dyDescent="0.2">
      <c r="A14" s="3" t="str">
        <f>+'rates, dates, etc'!A322</f>
        <v>Other Professional(s) (Technicians, etc)</v>
      </c>
      <c r="B14" s="5">
        <f>HLOOKUP(B$4,'rates, dates, etc'!B321:I326,6,FALSE)</f>
        <v>0</v>
      </c>
      <c r="C14" s="5">
        <f>HLOOKUP(C$4,'rates, dates, etc'!C321:O326,6,FALSE)</f>
        <v>0</v>
      </c>
      <c r="D14" s="5">
        <f>HLOOKUP(D$4,'rates, dates, etc'!D321:P326,6,FALSE)</f>
        <v>0</v>
      </c>
      <c r="E14" s="5">
        <f>HLOOKUP(E$4,'rates, dates, etc'!E321:Q326,6,FALSE)</f>
        <v>0</v>
      </c>
      <c r="F14" s="5">
        <f>HLOOKUP(F$4,'rates, dates, etc'!F321:R326,6,FALSE)</f>
        <v>0</v>
      </c>
      <c r="G14" s="5">
        <f>HLOOKUP(G$4,'rates, dates, etc'!G321:S326,6,FALSE)</f>
        <v>0</v>
      </c>
      <c r="H14" s="5">
        <f>HLOOKUP(H$4,'rates, dates, etc'!H321:T326,6,FALSE)</f>
        <v>0</v>
      </c>
      <c r="I14" s="5">
        <f>HLOOKUP(I$4,'rates, dates, etc'!I321:U326,6,FALSE)</f>
        <v>0</v>
      </c>
      <c r="J14" s="5">
        <f>HLOOKUP(J$4,'rates, dates, etc'!J321:V326,6,FALSE)</f>
        <v>0</v>
      </c>
      <c r="K14" s="5">
        <f>HLOOKUP(K$4,'rates, dates, etc'!K321:W326,6,FALSE)</f>
        <v>0</v>
      </c>
      <c r="L14" s="83">
        <f t="shared" ref="L14:L18" si="10">SUM(B14:K14)</f>
        <v>0</v>
      </c>
    </row>
    <row r="15" spans="1:13" x14ac:dyDescent="0.2">
      <c r="A15" s="3" t="str">
        <f>+'rates, dates, etc'!A328</f>
        <v>Graduate Student(s)</v>
      </c>
      <c r="B15" s="5">
        <f>O68+O69</f>
        <v>0</v>
      </c>
      <c r="C15" s="5">
        <f t="shared" ref="C15:F15" si="11">P68+P69</f>
        <v>0</v>
      </c>
      <c r="D15" s="5">
        <f t="shared" si="11"/>
        <v>0</v>
      </c>
      <c r="E15" s="5">
        <f t="shared" si="11"/>
        <v>0</v>
      </c>
      <c r="F15" s="5">
        <f t="shared" si="11"/>
        <v>0</v>
      </c>
      <c r="G15" s="5">
        <f t="shared" ref="G15" si="12">T68+T69</f>
        <v>0</v>
      </c>
      <c r="H15" s="5">
        <f t="shared" ref="H15" si="13">U68+U69</f>
        <v>0</v>
      </c>
      <c r="I15" s="5">
        <f t="shared" ref="I15" si="14">V68+V69</f>
        <v>0</v>
      </c>
      <c r="J15" s="5">
        <f t="shared" ref="J15" si="15">W68+W69</f>
        <v>0</v>
      </c>
      <c r="K15" s="5">
        <f t="shared" ref="K15" si="16">X68+X69</f>
        <v>0</v>
      </c>
      <c r="L15" s="83">
        <f t="shared" si="10"/>
        <v>0</v>
      </c>
    </row>
    <row r="16" spans="1:13" x14ac:dyDescent="0.2">
      <c r="A16" s="3" t="str">
        <f>+'rates, dates, etc'!A333</f>
        <v>Undergraduate Student(s)</v>
      </c>
      <c r="B16" s="5">
        <f>+'rates, dates, etc'!B341</f>
        <v>0</v>
      </c>
      <c r="C16" s="5">
        <f>+'rates, dates, etc'!C341</f>
        <v>0</v>
      </c>
      <c r="D16" s="5">
        <f>+'rates, dates, etc'!D341</f>
        <v>0</v>
      </c>
      <c r="E16" s="5">
        <f>+'rates, dates, etc'!E341</f>
        <v>0</v>
      </c>
      <c r="F16" s="5">
        <f>+'rates, dates, etc'!F341</f>
        <v>0</v>
      </c>
      <c r="G16" s="5">
        <f>+'rates, dates, etc'!G341</f>
        <v>0</v>
      </c>
      <c r="H16" s="5">
        <f>+'rates, dates, etc'!H341</f>
        <v>0</v>
      </c>
      <c r="I16" s="5">
        <f>+'rates, dates, etc'!I341</f>
        <v>0</v>
      </c>
      <c r="J16" s="5">
        <f>+'rates, dates, etc'!J341</f>
        <v>0</v>
      </c>
      <c r="K16" s="5">
        <f>+'rates, dates, etc'!K341</f>
        <v>0</v>
      </c>
      <c r="L16" s="83">
        <f t="shared" si="10"/>
        <v>0</v>
      </c>
    </row>
    <row r="17" spans="1:12" x14ac:dyDescent="0.2">
      <c r="A17" s="3" t="str">
        <f>+'rates, dates, etc'!A344</f>
        <v>Other</v>
      </c>
      <c r="B17" s="5">
        <f>HLOOKUP(B$4,'rates, dates, etc'!B343:I348,6,FALSE)</f>
        <v>0</v>
      </c>
      <c r="C17" s="5">
        <f>HLOOKUP(C$4,'rates, dates, etc'!C343:O348,6,FALSE)</f>
        <v>0</v>
      </c>
      <c r="D17" s="5">
        <f>HLOOKUP(D$4,'rates, dates, etc'!D343:P348,6,FALSE)</f>
        <v>0</v>
      </c>
      <c r="E17" s="5">
        <f>HLOOKUP(E$4,'rates, dates, etc'!E343:Q348,6,FALSE)</f>
        <v>0</v>
      </c>
      <c r="F17" s="5">
        <f>HLOOKUP(F$4,'rates, dates, etc'!F343:R348,6,FALSE)</f>
        <v>0</v>
      </c>
      <c r="G17" s="5">
        <f>HLOOKUP(G$4,'rates, dates, etc'!G343:S348,6,FALSE)</f>
        <v>0</v>
      </c>
      <c r="H17" s="5">
        <f>HLOOKUP(H$4,'rates, dates, etc'!H343:T348,6,FALSE)</f>
        <v>0</v>
      </c>
      <c r="I17" s="5">
        <f>HLOOKUP(I$4,'rates, dates, etc'!I343:U348,6,FALSE)</f>
        <v>0</v>
      </c>
      <c r="J17" s="5">
        <f>HLOOKUP(J$4,'rates, dates, etc'!J343:V348,6,FALSE)</f>
        <v>0</v>
      </c>
      <c r="K17" s="5">
        <f>HLOOKUP(K$4,'rates, dates, etc'!K343:W348,6,FALSE)</f>
        <v>0</v>
      </c>
      <c r="L17" s="83">
        <f t="shared" si="10"/>
        <v>0</v>
      </c>
    </row>
    <row r="18" spans="1:12" x14ac:dyDescent="0.2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83">
        <f t="shared" si="10"/>
        <v>0</v>
      </c>
    </row>
    <row r="19" spans="1:12" ht="12" thickBot="1" x14ac:dyDescent="0.25">
      <c r="A19" s="76" t="str">
        <f>CONCATENATE("Total ",A12)</f>
        <v>Total Other Personnel Salary</v>
      </c>
      <c r="B19" s="6">
        <f>SUM(B12:B18)</f>
        <v>0</v>
      </c>
      <c r="C19" s="6">
        <f>SUM(C12:C18)</f>
        <v>0</v>
      </c>
      <c r="D19" s="6">
        <f t="shared" ref="D19:F19" si="17">SUM(D12:D18)</f>
        <v>0</v>
      </c>
      <c r="E19" s="6">
        <f>SUM(E12:E18)</f>
        <v>0</v>
      </c>
      <c r="F19" s="6">
        <f t="shared" si="17"/>
        <v>0</v>
      </c>
      <c r="G19" s="6">
        <f t="shared" ref="G19:K19" si="18">SUM(G12:G18)</f>
        <v>0</v>
      </c>
      <c r="H19" s="6">
        <f t="shared" si="18"/>
        <v>0</v>
      </c>
      <c r="I19" s="6">
        <f t="shared" si="18"/>
        <v>0</v>
      </c>
      <c r="J19" s="6">
        <f t="shared" si="18"/>
        <v>0</v>
      </c>
      <c r="K19" s="6">
        <f t="shared" si="18"/>
        <v>0</v>
      </c>
      <c r="L19" s="86">
        <f>SUM(L12:L18)</f>
        <v>0</v>
      </c>
    </row>
    <row r="20" spans="1:12" x14ac:dyDescent="0.2">
      <c r="A20" s="77" t="s">
        <v>7</v>
      </c>
      <c r="B20" s="17" t="s">
        <v>6</v>
      </c>
      <c r="C20" s="17"/>
      <c r="D20" s="17"/>
      <c r="E20" s="17"/>
      <c r="F20" s="17"/>
      <c r="G20" s="17"/>
      <c r="H20" s="17"/>
      <c r="I20" s="17"/>
      <c r="J20" s="17"/>
      <c r="K20" s="17"/>
      <c r="L20" s="83"/>
    </row>
    <row r="21" spans="1:12" x14ac:dyDescent="0.2">
      <c r="A21" s="3" t="str">
        <f>+A8</f>
        <v>Co-PI</v>
      </c>
      <c r="B21" s="17">
        <f>IF('rates, dates, etc'!$O292=9,ROUND((+B8*O$78),0),ROUND((+B8*O$81*$P$89)+(B8*P$81*$P$90),0))</f>
        <v>0</v>
      </c>
      <c r="C21" s="17">
        <f>IF('rates, dates, etc'!$O292=9,ROUND((+C8*P$78),0),ROUND((+C8*P$81*$P$89)+(C8*Q$81*$P$90),0))</f>
        <v>0</v>
      </c>
      <c r="D21" s="17">
        <f>IF('rates, dates, etc'!$O292=9,ROUND((+D8*Q$78),0),ROUND((+D8*Q$81*$P$89)+(D8*R$81*$P$90),0))</f>
        <v>0</v>
      </c>
      <c r="E21" s="17">
        <f>IF('rates, dates, etc'!$O292=9,ROUND((+E8*R$78),0),ROUND((+E8*R$81*$P$89)+(E8*S$81*$P$90),0))</f>
        <v>0</v>
      </c>
      <c r="F21" s="17">
        <f>IF('rates, dates, etc'!$O292=9,ROUND((+F8*S$78),0),ROUND((+F8*S$81*$P$89)+(F8*T$81*$P$90),0))</f>
        <v>0</v>
      </c>
      <c r="G21" s="17">
        <f>IF('rates, dates, etc'!$O292=9,ROUND((+G8*T$78),0),ROUND((+G8*T$81*$P$89)+(G8*U$81*$P$90),0))</f>
        <v>0</v>
      </c>
      <c r="H21" s="17">
        <f>IF('rates, dates, etc'!$O292=9,ROUND((+H8*U$78),0),ROUND((+H8*U$81*$P$89)+(H8*V$81*$P$90),0))</f>
        <v>0</v>
      </c>
      <c r="I21" s="17">
        <f>IF('rates, dates, etc'!$O292=9,ROUND((+I8*V$78),0),ROUND((+I8*V$81*$P$89)+(I8*W$81*$P$90),0))</f>
        <v>0</v>
      </c>
      <c r="J21" s="17">
        <f>IF('rates, dates, etc'!$O292=9,ROUND((+J8*W$78),0),ROUND((+J8*W$81*$P$89)+(J8*X$81*$P$90),0))</f>
        <v>0</v>
      </c>
      <c r="K21" s="17">
        <f>IF('rates, dates, etc'!$O292=9,ROUND((+K8*X$78),0),ROUND((+K8*X$81*$P$89)+(K8*Y$81*$P$90),0))</f>
        <v>0</v>
      </c>
      <c r="L21" s="83">
        <f>SUM(B21:K21)</f>
        <v>0</v>
      </c>
    </row>
    <row r="22" spans="1:12" x14ac:dyDescent="0.2">
      <c r="A22" s="3" t="str">
        <f>+A9</f>
        <v>Co-PI</v>
      </c>
      <c r="B22" s="17">
        <f>IF('rates, dates, etc'!$O300=9,ROUND((+B9*O$78),0),ROUND((+B9*O$81*$P$89)+(B9*P$81*$P$90),0))</f>
        <v>0</v>
      </c>
      <c r="C22" s="17">
        <f>IF('rates, dates, etc'!$O300=9,ROUND((+C9*P$78),0),ROUND((+C9*P$81*$P$89)+(C9*Q$81*$P$90),0))</f>
        <v>0</v>
      </c>
      <c r="D22" s="17">
        <f>IF('rates, dates, etc'!$O300=9,ROUND((+D9*Q$78),0),ROUND((+D9*Q$81*$P$89)+(D9*R$81*$P$90),0))</f>
        <v>0</v>
      </c>
      <c r="E22" s="17">
        <f>IF('rates, dates, etc'!$O300=9,ROUND((+E9*R$78),0),ROUND((+E9*R$81*$P$89)+(E9*S$81*$P$90),0))</f>
        <v>0</v>
      </c>
      <c r="F22" s="17">
        <f>IF('rates, dates, etc'!$O300=9,ROUND((+F9*S$78),0),ROUND((+F9*S$81*$P$89)+(F9*T$81*$P$90),0))</f>
        <v>0</v>
      </c>
      <c r="G22" s="17">
        <f>IF('rates, dates, etc'!$O300=9,ROUND((+G9*T$78),0),ROUND((+G9*T$81*$P$89)+(G9*U$81*$P$90),0))</f>
        <v>0</v>
      </c>
      <c r="H22" s="17">
        <f>IF('rates, dates, etc'!$O300=9,ROUND((+H9*U$78),0),ROUND((+H9*U$81*$P$89)+(H9*V$81*$P$90),0))</f>
        <v>0</v>
      </c>
      <c r="I22" s="17">
        <f>IF('rates, dates, etc'!$O300=9,ROUND((+I9*V$78),0),ROUND((+I9*V$81*$P$89)+(I9*W$81*$P$90),0))</f>
        <v>0</v>
      </c>
      <c r="J22" s="17">
        <f>IF('rates, dates, etc'!$O300=9,ROUND((+J9*W$78),0),ROUND((+J9*W$81*$P$89)+(J9*X$81*$P$90),0))</f>
        <v>0</v>
      </c>
      <c r="K22" s="17">
        <f>IF('rates, dates, etc'!$O300=9,ROUND((+K9*X$78),0),ROUND((+K9*X$81*$P$89)+(K9*Y$81*$P$90),0))</f>
        <v>0</v>
      </c>
      <c r="L22" s="83">
        <f t="shared" ref="L22:L26" si="19">SUM(B22:K22)</f>
        <v>0</v>
      </c>
    </row>
    <row r="23" spans="1:12" x14ac:dyDescent="0.2">
      <c r="A23" s="3" t="str">
        <f>+A10</f>
        <v>Co-PI</v>
      </c>
      <c r="B23" s="17">
        <f>IF('rates, dates, etc'!$O308=9,ROUND((+B10*O$78),0),ROUND((+B10*O$81*$P$89)+(B10*P$81*$P$90),0))</f>
        <v>0</v>
      </c>
      <c r="C23" s="17">
        <f>IF('rates, dates, etc'!$O308=9,ROUND((+C10*P$78),0),ROUND((+C10*P$81*$P$89)+(C10*Q$81*$P$90),0))</f>
        <v>0</v>
      </c>
      <c r="D23" s="17">
        <f>IF('rates, dates, etc'!$O308=9,ROUND((+D10*Q$78),0),ROUND((+D10*Q$81*$P$89)+(D10*R$81*$P$90),0))</f>
        <v>0</v>
      </c>
      <c r="E23" s="17">
        <f>IF('rates, dates, etc'!$O308=9,ROUND((+E10*R$78),0),ROUND((+E10*R$81*$P$89)+(E10*S$81*$P$90),0))</f>
        <v>0</v>
      </c>
      <c r="F23" s="17">
        <f>IF('rates, dates, etc'!$O308=9,ROUND((+F10*S$78),0),ROUND((+F10*S$81*$P$89)+(F10*T$81*$P$90),0))</f>
        <v>0</v>
      </c>
      <c r="G23" s="17">
        <f>IF('rates, dates, etc'!$O308=9,ROUND((+G10*T$78),0),ROUND((+G10*T$81*$P$89)+(G10*U$81*$P$90),0))</f>
        <v>0</v>
      </c>
      <c r="H23" s="17">
        <f>IF('rates, dates, etc'!$O308=9,ROUND((+H10*U$78),0),ROUND((+H10*U$81*$P$89)+(H10*V$81*$P$90),0))</f>
        <v>0</v>
      </c>
      <c r="I23" s="17">
        <f>IF('rates, dates, etc'!$O308=9,ROUND((+I10*V$78),0),ROUND((+I10*V$81*$P$89)+(I10*W$81*$P$90),0))</f>
        <v>0</v>
      </c>
      <c r="J23" s="17">
        <f>IF('rates, dates, etc'!$O308=9,ROUND((+J10*W$78),0),ROUND((+J10*W$81*$P$89)+(J10*X$81*$P$90),0))</f>
        <v>0</v>
      </c>
      <c r="K23" s="17">
        <f>IF('rates, dates, etc'!$O308=9,ROUND((+K10*X$78),0),ROUND((+K10*X$81*$P$89)+(K10*Y$81*$P$90),0))</f>
        <v>0</v>
      </c>
      <c r="L23" s="83">
        <f t="shared" si="19"/>
        <v>0</v>
      </c>
    </row>
    <row r="24" spans="1:12" x14ac:dyDescent="0.2">
      <c r="A24" s="3" t="str">
        <f>+A13</f>
        <v>Post Doctoral Scholar(s)</v>
      </c>
      <c r="B24" s="17">
        <f t="shared" ref="B24:F25" si="20">ROUND((+B13*O82*$P$89)+(B13*P82*$P$90),0)</f>
        <v>0</v>
      </c>
      <c r="C24" s="17">
        <f t="shared" si="20"/>
        <v>0</v>
      </c>
      <c r="D24" s="17">
        <f t="shared" si="20"/>
        <v>0</v>
      </c>
      <c r="E24" s="17">
        <f t="shared" si="20"/>
        <v>0</v>
      </c>
      <c r="F24" s="17">
        <f t="shared" si="20"/>
        <v>0</v>
      </c>
      <c r="G24" s="17">
        <f t="shared" ref="G24:K24" si="21">ROUND((+G13*T82*$P$89)+(G13*U82*$P$90),0)</f>
        <v>0</v>
      </c>
      <c r="H24" s="17">
        <f t="shared" si="21"/>
        <v>0</v>
      </c>
      <c r="I24" s="17">
        <f t="shared" si="21"/>
        <v>0</v>
      </c>
      <c r="J24" s="17">
        <f t="shared" si="21"/>
        <v>0</v>
      </c>
      <c r="K24" s="17">
        <f t="shared" si="21"/>
        <v>0</v>
      </c>
      <c r="L24" s="83">
        <f t="shared" si="19"/>
        <v>0</v>
      </c>
    </row>
    <row r="25" spans="1:12" x14ac:dyDescent="0.2">
      <c r="A25" s="3" t="str">
        <f>+A14</f>
        <v>Other Professional(s) (Technicians, etc)</v>
      </c>
      <c r="B25" s="17">
        <f t="shared" si="20"/>
        <v>0</v>
      </c>
      <c r="C25" s="17">
        <f t="shared" si="20"/>
        <v>0</v>
      </c>
      <c r="D25" s="17">
        <f t="shared" si="20"/>
        <v>0</v>
      </c>
      <c r="E25" s="17">
        <f t="shared" si="20"/>
        <v>0</v>
      </c>
      <c r="F25" s="17">
        <f t="shared" si="20"/>
        <v>0</v>
      </c>
      <c r="G25" s="17">
        <f t="shared" ref="G25:K25" si="22">ROUND((+G14*T83*$P$89)+(G14*U83*$P$90),0)</f>
        <v>0</v>
      </c>
      <c r="H25" s="17">
        <f t="shared" si="22"/>
        <v>0</v>
      </c>
      <c r="I25" s="17">
        <f t="shared" si="22"/>
        <v>0</v>
      </c>
      <c r="J25" s="17">
        <f t="shared" si="22"/>
        <v>0</v>
      </c>
      <c r="K25" s="17">
        <f t="shared" si="22"/>
        <v>0</v>
      </c>
      <c r="L25" s="83">
        <f t="shared" si="19"/>
        <v>0</v>
      </c>
    </row>
    <row r="26" spans="1:12" x14ac:dyDescent="0.2">
      <c r="A26" s="3" t="str">
        <f>+A17</f>
        <v>Other</v>
      </c>
      <c r="B26" s="17">
        <f>IF('rates, dates, etc'!$O345=9,ROUND((+B17*O$78),0),ROUND((+B17*O$83*$P$89)+(B17*P$83*$P$90),0))</f>
        <v>0</v>
      </c>
      <c r="C26" s="17">
        <f>IF('rates, dates, etc'!$O345=9,ROUND((+C17*P$78),0),ROUND((+C17*P$83*$P$89)+(C17*Q$83*$P$90),0))</f>
        <v>0</v>
      </c>
      <c r="D26" s="17">
        <f>IF('rates, dates, etc'!$O345=9,ROUND((+D17*Q$78),0),ROUND((+D17*Q$83*$P$89)+(D17*R$83*$P$90),0))</f>
        <v>0</v>
      </c>
      <c r="E26" s="17">
        <f>IF('rates, dates, etc'!$O345=9,ROUND((+E17*R$78),0),ROUND((+E17*R$83*$P$89)+(E17*S$83*$P$90),0))</f>
        <v>0</v>
      </c>
      <c r="F26" s="17">
        <f>IF('rates, dates, etc'!$O345=9,ROUND((+F17*S$78),0),ROUND((+F17*S$83*$P$89)+(F17*T$83*$P$90),0))</f>
        <v>0</v>
      </c>
      <c r="G26" s="17">
        <f>IF('rates, dates, etc'!$O345=9,ROUND((+G17*T$78),0),ROUND((+G17*T$83*$P$89)+(G17*U$83*$P$90),0))</f>
        <v>0</v>
      </c>
      <c r="H26" s="17">
        <f>IF('rates, dates, etc'!$O345=9,ROUND((+H17*U$78),0),ROUND((+H17*U$83*$P$89)+(H17*V$83*$P$90),0))</f>
        <v>0</v>
      </c>
      <c r="I26" s="17">
        <f>IF('rates, dates, etc'!$O345=9,ROUND((+I17*V$78),0),ROUND((+I17*V$83*$P$89)+(I17*W$83*$P$90),0))</f>
        <v>0</v>
      </c>
      <c r="J26" s="17">
        <f>IF('rates, dates, etc'!$O345=9,ROUND((+J17*W$78),0),ROUND((+J17*W$83*$P$89)+(J17*X$83*$P$90),0))</f>
        <v>0</v>
      </c>
      <c r="K26" s="17">
        <f>IF('rates, dates, etc'!$O345=9,ROUND((+K17*X$78),0),ROUND((+K17*X$83*$P$89)+(K17*Y$83*$P$90),0))</f>
        <v>0</v>
      </c>
      <c r="L26" s="83">
        <f t="shared" si="19"/>
        <v>0</v>
      </c>
    </row>
    <row r="27" spans="1:12" ht="12" thickBot="1" x14ac:dyDescent="0.25">
      <c r="A27" s="76" t="str">
        <f>CONCATENATE("Total ",A20)</f>
        <v>Total Fringe Benefits</v>
      </c>
      <c r="B27" s="6">
        <f>SUM(B20:B26)</f>
        <v>0</v>
      </c>
      <c r="C27" s="6">
        <f>SUM(C20:C26)</f>
        <v>0</v>
      </c>
      <c r="D27" s="6">
        <f>SUM(D20:D26)</f>
        <v>0</v>
      </c>
      <c r="E27" s="6">
        <f t="shared" ref="E27:F27" si="23">SUM(E20:E26)</f>
        <v>0</v>
      </c>
      <c r="F27" s="6">
        <f t="shared" si="23"/>
        <v>0</v>
      </c>
      <c r="G27" s="6">
        <f t="shared" ref="G27:K27" si="24">SUM(G20:G26)</f>
        <v>0</v>
      </c>
      <c r="H27" s="6">
        <f t="shared" si="24"/>
        <v>0</v>
      </c>
      <c r="I27" s="6">
        <f t="shared" si="24"/>
        <v>0</v>
      </c>
      <c r="J27" s="6">
        <f t="shared" si="24"/>
        <v>0</v>
      </c>
      <c r="K27" s="6">
        <f t="shared" si="24"/>
        <v>0</v>
      </c>
      <c r="L27" s="86">
        <f>SUM(L20:L26)</f>
        <v>0</v>
      </c>
    </row>
    <row r="28" spans="1:12" ht="12" thickBot="1" x14ac:dyDescent="0.25">
      <c r="A28" s="130" t="s">
        <v>108</v>
      </c>
      <c r="B28" s="131">
        <f>+B11+B19+B27</f>
        <v>0</v>
      </c>
      <c r="C28" s="131">
        <f t="shared" ref="C28:F28" si="25">+C11+C19+C27</f>
        <v>0</v>
      </c>
      <c r="D28" s="131">
        <f t="shared" si="25"/>
        <v>0</v>
      </c>
      <c r="E28" s="131">
        <f t="shared" si="25"/>
        <v>0</v>
      </c>
      <c r="F28" s="131">
        <f t="shared" si="25"/>
        <v>0</v>
      </c>
      <c r="G28" s="131">
        <f t="shared" ref="G28:K28" si="26">+G11+G19+G27</f>
        <v>0</v>
      </c>
      <c r="H28" s="131">
        <f t="shared" si="26"/>
        <v>0</v>
      </c>
      <c r="I28" s="131">
        <f t="shared" si="26"/>
        <v>0</v>
      </c>
      <c r="J28" s="131">
        <f t="shared" si="26"/>
        <v>0</v>
      </c>
      <c r="K28" s="131">
        <f t="shared" si="26"/>
        <v>0</v>
      </c>
      <c r="L28" s="132">
        <f>SUM(B28:K28)</f>
        <v>0</v>
      </c>
    </row>
    <row r="29" spans="1:12" x14ac:dyDescent="0.2">
      <c r="A29" s="77" t="s">
        <v>25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83"/>
    </row>
    <row r="30" spans="1:12" x14ac:dyDescent="0.2">
      <c r="A30" s="3" t="s">
        <v>62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83">
        <f>SUM(B30:K30)</f>
        <v>0</v>
      </c>
    </row>
    <row r="31" spans="1:12" x14ac:dyDescent="0.2">
      <c r="A31" s="3"/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83">
        <f>SUM(B31:K31)</f>
        <v>0</v>
      </c>
    </row>
    <row r="32" spans="1:12" ht="12" thickBot="1" x14ac:dyDescent="0.25">
      <c r="A32" s="76" t="str">
        <f>CONCATENATE("Total ",A29)</f>
        <v>Total Equipment</v>
      </c>
      <c r="B32" s="6">
        <f>SUM(B29:B31)</f>
        <v>0</v>
      </c>
      <c r="C32" s="6">
        <f t="shared" ref="C32:K32" si="27">SUM(C29:C31)</f>
        <v>0</v>
      </c>
      <c r="D32" s="6">
        <f t="shared" si="27"/>
        <v>0</v>
      </c>
      <c r="E32" s="6">
        <f t="shared" si="27"/>
        <v>0</v>
      </c>
      <c r="F32" s="6">
        <f t="shared" si="27"/>
        <v>0</v>
      </c>
      <c r="G32" s="6">
        <f t="shared" si="27"/>
        <v>0</v>
      </c>
      <c r="H32" s="6">
        <f t="shared" si="27"/>
        <v>0</v>
      </c>
      <c r="I32" s="6">
        <f t="shared" si="27"/>
        <v>0</v>
      </c>
      <c r="J32" s="6">
        <f t="shared" si="27"/>
        <v>0</v>
      </c>
      <c r="K32" s="6">
        <f t="shared" si="27"/>
        <v>0</v>
      </c>
      <c r="L32" s="86">
        <f>SUM(L29:L31)</f>
        <v>0</v>
      </c>
    </row>
    <row r="33" spans="1:16" x14ac:dyDescent="0.2">
      <c r="A33" s="77" t="s">
        <v>34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83"/>
    </row>
    <row r="34" spans="1:16" x14ac:dyDescent="0.2">
      <c r="A34" s="3" t="s">
        <v>10</v>
      </c>
      <c r="B34" s="342">
        <v>0</v>
      </c>
      <c r="C34" s="342">
        <v>0</v>
      </c>
      <c r="D34" s="342">
        <v>0</v>
      </c>
      <c r="E34" s="342">
        <v>0</v>
      </c>
      <c r="F34" s="342">
        <v>0</v>
      </c>
      <c r="G34" s="342">
        <v>0</v>
      </c>
      <c r="H34" s="342">
        <v>0</v>
      </c>
      <c r="I34" s="342">
        <v>0</v>
      </c>
      <c r="J34" s="342">
        <v>0</v>
      </c>
      <c r="K34" s="342">
        <v>0</v>
      </c>
      <c r="L34" s="83">
        <f>SUM(B34:K34)</f>
        <v>0</v>
      </c>
    </row>
    <row r="35" spans="1:16" x14ac:dyDescent="0.2">
      <c r="A35" s="3" t="s">
        <v>11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83">
        <f>SUM(B35:K35)</f>
        <v>0</v>
      </c>
    </row>
    <row r="36" spans="1:16" ht="12" thickBot="1" x14ac:dyDescent="0.25">
      <c r="A36" s="76" t="str">
        <f>CONCATENATE("Total ",A33)</f>
        <v>Total Travel</v>
      </c>
      <c r="B36" s="6">
        <f>SUM(B33:B35)</f>
        <v>0</v>
      </c>
      <c r="C36" s="6">
        <f>SUM(C33:C35)</f>
        <v>0</v>
      </c>
      <c r="D36" s="6">
        <f t="shared" ref="D36:K36" si="28">SUM(D33:D35)</f>
        <v>0</v>
      </c>
      <c r="E36" s="6">
        <f t="shared" si="28"/>
        <v>0</v>
      </c>
      <c r="F36" s="6">
        <f t="shared" si="28"/>
        <v>0</v>
      </c>
      <c r="G36" s="6">
        <f t="shared" si="28"/>
        <v>0</v>
      </c>
      <c r="H36" s="6">
        <f t="shared" si="28"/>
        <v>0</v>
      </c>
      <c r="I36" s="6">
        <f t="shared" si="28"/>
        <v>0</v>
      </c>
      <c r="J36" s="6">
        <f t="shared" si="28"/>
        <v>0</v>
      </c>
      <c r="K36" s="6">
        <f t="shared" si="28"/>
        <v>0</v>
      </c>
      <c r="L36" s="86">
        <f>SUM(L33:L35)</f>
        <v>0</v>
      </c>
    </row>
    <row r="37" spans="1:16" x14ac:dyDescent="0.2">
      <c r="A37" s="77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83"/>
      <c r="N37" s="1"/>
      <c r="O37" s="1"/>
      <c r="P37" s="1"/>
    </row>
    <row r="38" spans="1:16" x14ac:dyDescent="0.2">
      <c r="A38" s="3" t="s">
        <v>75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83">
        <f>SUM(B38:K38)</f>
        <v>0</v>
      </c>
      <c r="N38" s="1"/>
      <c r="O38" s="1"/>
      <c r="P38" s="1"/>
    </row>
    <row r="39" spans="1:16" x14ac:dyDescent="0.2">
      <c r="A39" s="3" t="s">
        <v>42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83">
        <f t="shared" ref="L39:L42" si="29">SUM(B39:K39)</f>
        <v>0</v>
      </c>
      <c r="N39" s="1"/>
      <c r="O39" s="1"/>
      <c r="P39" s="1"/>
    </row>
    <row r="40" spans="1:16" x14ac:dyDescent="0.2">
      <c r="A40" s="3" t="s">
        <v>34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83">
        <f t="shared" si="29"/>
        <v>0</v>
      </c>
      <c r="P40" s="1"/>
    </row>
    <row r="41" spans="1:16" x14ac:dyDescent="0.2">
      <c r="A41" s="3" t="s">
        <v>43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83">
        <f t="shared" si="29"/>
        <v>0</v>
      </c>
    </row>
    <row r="42" spans="1:16" x14ac:dyDescent="0.2">
      <c r="A42" s="3" t="s">
        <v>29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83">
        <f t="shared" si="29"/>
        <v>0</v>
      </c>
    </row>
    <row r="43" spans="1:16" ht="12" thickBot="1" x14ac:dyDescent="0.25">
      <c r="A43" s="76" t="str">
        <f>CONCATENATE("Total ",A37)</f>
        <v>Total Participant Support Costs</v>
      </c>
      <c r="B43" s="6">
        <f>SUM(B37:B42)</f>
        <v>0</v>
      </c>
      <c r="C43" s="6">
        <f t="shared" ref="C43:K43" si="30">SUM(C37:C42)</f>
        <v>0</v>
      </c>
      <c r="D43" s="6">
        <f t="shared" si="30"/>
        <v>0</v>
      </c>
      <c r="E43" s="6">
        <f t="shared" si="30"/>
        <v>0</v>
      </c>
      <c r="F43" s="6">
        <f t="shared" si="30"/>
        <v>0</v>
      </c>
      <c r="G43" s="6">
        <f t="shared" si="30"/>
        <v>0</v>
      </c>
      <c r="H43" s="6">
        <f t="shared" si="30"/>
        <v>0</v>
      </c>
      <c r="I43" s="6">
        <f t="shared" si="30"/>
        <v>0</v>
      </c>
      <c r="J43" s="6">
        <f t="shared" si="30"/>
        <v>0</v>
      </c>
      <c r="K43" s="6">
        <f t="shared" si="30"/>
        <v>0</v>
      </c>
      <c r="L43" s="86">
        <f>SUM(L37:L42)</f>
        <v>0</v>
      </c>
    </row>
    <row r="44" spans="1:16" x14ac:dyDescent="0.2">
      <c r="A44" s="77" t="s">
        <v>13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83"/>
    </row>
    <row r="45" spans="1:16" x14ac:dyDescent="0.2">
      <c r="A45" s="3" t="s">
        <v>14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83">
        <f>SUM(B45:K45)</f>
        <v>0</v>
      </c>
    </row>
    <row r="46" spans="1:16" x14ac:dyDescent="0.2">
      <c r="A46" s="3" t="s">
        <v>181</v>
      </c>
      <c r="B46" s="78">
        <v>0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83">
        <f t="shared" ref="L46:L53" si="31">SUM(B46:K46)</f>
        <v>0</v>
      </c>
    </row>
    <row r="47" spans="1:16" x14ac:dyDescent="0.2">
      <c r="A47" s="3" t="s">
        <v>240</v>
      </c>
      <c r="B47" s="78">
        <v>0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83">
        <f t="shared" si="31"/>
        <v>0</v>
      </c>
    </row>
    <row r="48" spans="1:16" x14ac:dyDescent="0.2">
      <c r="A48" s="3" t="s">
        <v>182</v>
      </c>
      <c r="B48" s="78">
        <v>0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83">
        <f t="shared" si="31"/>
        <v>0</v>
      </c>
    </row>
    <row r="49" spans="1:20" x14ac:dyDescent="0.2">
      <c r="A49" s="3" t="s">
        <v>41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83">
        <f t="shared" si="31"/>
        <v>0</v>
      </c>
    </row>
    <row r="50" spans="1:20" x14ac:dyDescent="0.2">
      <c r="A50" s="3" t="s">
        <v>147</v>
      </c>
      <c r="B50" s="78">
        <f>O70</f>
        <v>0</v>
      </c>
      <c r="C50" s="78">
        <f t="shared" ref="C50:F50" si="32">P70</f>
        <v>0</v>
      </c>
      <c r="D50" s="78">
        <f t="shared" si="32"/>
        <v>0</v>
      </c>
      <c r="E50" s="78">
        <f t="shared" si="32"/>
        <v>0</v>
      </c>
      <c r="F50" s="78">
        <f t="shared" si="32"/>
        <v>0</v>
      </c>
      <c r="G50" s="78">
        <f t="shared" ref="G50:G51" si="33">T70</f>
        <v>0</v>
      </c>
      <c r="H50" s="78">
        <f t="shared" ref="H50:H51" si="34">U70</f>
        <v>0</v>
      </c>
      <c r="I50" s="78">
        <f t="shared" ref="I50:I51" si="35">V70</f>
        <v>0</v>
      </c>
      <c r="J50" s="78">
        <f t="shared" ref="J50:J51" si="36">W70</f>
        <v>0</v>
      </c>
      <c r="K50" s="78">
        <f t="shared" ref="K50:K51" si="37">X70</f>
        <v>0</v>
      </c>
      <c r="L50" s="83">
        <f t="shared" si="31"/>
        <v>0</v>
      </c>
    </row>
    <row r="51" spans="1:20" x14ac:dyDescent="0.2">
      <c r="A51" s="3" t="s">
        <v>146</v>
      </c>
      <c r="B51" s="78">
        <f>O71</f>
        <v>0</v>
      </c>
      <c r="C51" s="78">
        <f t="shared" ref="C51:F51" si="38">P71</f>
        <v>0</v>
      </c>
      <c r="D51" s="78">
        <f t="shared" si="38"/>
        <v>0</v>
      </c>
      <c r="E51" s="78">
        <f t="shared" si="38"/>
        <v>0</v>
      </c>
      <c r="F51" s="78">
        <f t="shared" si="38"/>
        <v>0</v>
      </c>
      <c r="G51" s="78">
        <f t="shared" si="33"/>
        <v>0</v>
      </c>
      <c r="H51" s="78">
        <f t="shared" si="34"/>
        <v>0</v>
      </c>
      <c r="I51" s="78">
        <f t="shared" si="35"/>
        <v>0</v>
      </c>
      <c r="J51" s="78">
        <f t="shared" si="36"/>
        <v>0</v>
      </c>
      <c r="K51" s="78">
        <f t="shared" si="37"/>
        <v>0</v>
      </c>
      <c r="L51" s="83">
        <f t="shared" si="31"/>
        <v>0</v>
      </c>
    </row>
    <row r="52" spans="1:20" x14ac:dyDescent="0.2">
      <c r="A52" s="3" t="s">
        <v>29</v>
      </c>
      <c r="B52" s="78">
        <v>0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83">
        <f t="shared" si="31"/>
        <v>0</v>
      </c>
    </row>
    <row r="53" spans="1:20" x14ac:dyDescent="0.2">
      <c r="A53" s="3" t="s">
        <v>29</v>
      </c>
      <c r="B53" s="78">
        <v>0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83">
        <f t="shared" si="31"/>
        <v>0</v>
      </c>
      <c r="P53" s="1"/>
      <c r="S53" s="5"/>
      <c r="T53" s="5"/>
    </row>
    <row r="54" spans="1:20" ht="12" thickBot="1" x14ac:dyDescent="0.25">
      <c r="A54" s="76" t="str">
        <f>CONCATENATE("Total ",A44)</f>
        <v>Total Other Direct Costs</v>
      </c>
      <c r="B54" s="86">
        <f t="shared" ref="B54:L54" si="39">SUM(B44:B53)</f>
        <v>0</v>
      </c>
      <c r="C54" s="6">
        <f t="shared" si="39"/>
        <v>0</v>
      </c>
      <c r="D54" s="6">
        <f t="shared" si="39"/>
        <v>0</v>
      </c>
      <c r="E54" s="6">
        <f t="shared" si="39"/>
        <v>0</v>
      </c>
      <c r="F54" s="6">
        <f t="shared" si="39"/>
        <v>0</v>
      </c>
      <c r="G54" s="6">
        <f t="shared" ref="G54:K54" si="40">SUM(G44:G53)</f>
        <v>0</v>
      </c>
      <c r="H54" s="6">
        <f t="shared" si="40"/>
        <v>0</v>
      </c>
      <c r="I54" s="6">
        <f t="shared" si="40"/>
        <v>0</v>
      </c>
      <c r="J54" s="6">
        <f t="shared" si="40"/>
        <v>0</v>
      </c>
      <c r="K54" s="6">
        <f t="shared" si="40"/>
        <v>0</v>
      </c>
      <c r="L54" s="86">
        <f t="shared" si="39"/>
        <v>0</v>
      </c>
      <c r="S54" s="5"/>
      <c r="T54" s="5"/>
    </row>
    <row r="55" spans="1:20" ht="12" thickBot="1" x14ac:dyDescent="0.25">
      <c r="A55" s="82" t="s">
        <v>16</v>
      </c>
      <c r="B55" s="124">
        <f t="shared" ref="B55:L55" si="41">SUM(+B11+B19+B27+B32+B36+B43+B54)</f>
        <v>0</v>
      </c>
      <c r="C55" s="124">
        <f t="shared" si="41"/>
        <v>0</v>
      </c>
      <c r="D55" s="124">
        <f t="shared" si="41"/>
        <v>0</v>
      </c>
      <c r="E55" s="124">
        <f t="shared" si="41"/>
        <v>0</v>
      </c>
      <c r="F55" s="124">
        <f t="shared" si="41"/>
        <v>0</v>
      </c>
      <c r="G55" s="124">
        <f t="shared" ref="G55:K55" si="42">SUM(+G11+G19+G27+G32+G36+G43+G54)</f>
        <v>0</v>
      </c>
      <c r="H55" s="124">
        <f t="shared" si="42"/>
        <v>0</v>
      </c>
      <c r="I55" s="124">
        <f t="shared" si="42"/>
        <v>0</v>
      </c>
      <c r="J55" s="124">
        <f t="shared" si="42"/>
        <v>0</v>
      </c>
      <c r="K55" s="124">
        <f t="shared" si="42"/>
        <v>0</v>
      </c>
      <c r="L55" s="125">
        <f t="shared" si="41"/>
        <v>0</v>
      </c>
      <c r="S55" s="5"/>
      <c r="T55" s="5"/>
    </row>
    <row r="56" spans="1:20" ht="12" thickBot="1" x14ac:dyDescent="0.25">
      <c r="A56" s="71" t="s">
        <v>17</v>
      </c>
      <c r="B56" s="94">
        <f>+B55-(B50+B51+B43+B61+B32)</f>
        <v>0</v>
      </c>
      <c r="C56" s="94">
        <f t="shared" ref="C56:K56" si="43">+C55-(C50+C51+C43+C61+C32)</f>
        <v>0</v>
      </c>
      <c r="D56" s="94">
        <f t="shared" si="43"/>
        <v>0</v>
      </c>
      <c r="E56" s="94">
        <f t="shared" si="43"/>
        <v>0</v>
      </c>
      <c r="F56" s="94">
        <f t="shared" si="43"/>
        <v>0</v>
      </c>
      <c r="G56" s="94">
        <f t="shared" si="43"/>
        <v>0</v>
      </c>
      <c r="H56" s="94">
        <f t="shared" si="43"/>
        <v>0</v>
      </c>
      <c r="I56" s="94">
        <f t="shared" si="43"/>
        <v>0</v>
      </c>
      <c r="J56" s="94">
        <f t="shared" si="43"/>
        <v>0</v>
      </c>
      <c r="K56" s="94">
        <f t="shared" si="43"/>
        <v>0</v>
      </c>
      <c r="L56" s="81">
        <f>SUM(B56:K56)</f>
        <v>0</v>
      </c>
      <c r="M56" s="108"/>
      <c r="S56" s="5"/>
      <c r="T56" s="5"/>
    </row>
    <row r="57" spans="1:20" ht="12" thickBot="1" x14ac:dyDescent="0.25">
      <c r="A57" s="99" t="s">
        <v>18</v>
      </c>
      <c r="B57" s="126">
        <f>IF(AND('rates, dates, etc'!$B$8="no",'Budget Summary'!$L$99&lt;'Budget Summary'!$L$100),B63,B64)</f>
        <v>0</v>
      </c>
      <c r="C57" s="126">
        <f>IF(AND('rates, dates, etc'!$B$8="no",'Budget Summary'!$L$99&lt;'Budget Summary'!$L$100),C63,C64)</f>
        <v>0</v>
      </c>
      <c r="D57" s="126">
        <f>IF(AND('rates, dates, etc'!$B$8="no",'Budget Summary'!$L$99&lt;'Budget Summary'!$L$100),D63,D64)</f>
        <v>0</v>
      </c>
      <c r="E57" s="126">
        <f>IF(AND('rates, dates, etc'!$B$8="no",'Budget Summary'!$L$99&lt;'Budget Summary'!$L$100),E63,E64)</f>
        <v>0</v>
      </c>
      <c r="F57" s="126">
        <f>IF(AND('rates, dates, etc'!$B$8="no",'Budget Summary'!$L$99&lt;'Budget Summary'!$L$100),F63,F64)</f>
        <v>0</v>
      </c>
      <c r="G57" s="126">
        <f>IF(AND('rates, dates, etc'!$B$8="no",'Budget Summary'!$L$99&lt;'Budget Summary'!$L$100),G63,G64)</f>
        <v>0</v>
      </c>
      <c r="H57" s="126">
        <f>IF(AND('rates, dates, etc'!$B$8="no",'Budget Summary'!$L$99&lt;'Budget Summary'!$L$100),H63,H64)</f>
        <v>0</v>
      </c>
      <c r="I57" s="126">
        <f>IF(AND('rates, dates, etc'!$B$8="no",'Budget Summary'!$L$99&lt;'Budget Summary'!$L$100),I63,I64)</f>
        <v>0</v>
      </c>
      <c r="J57" s="126">
        <f>IF(AND('rates, dates, etc'!$B$8="no",'Budget Summary'!$L$99&lt;'Budget Summary'!$L$100),J63,J64)</f>
        <v>0</v>
      </c>
      <c r="K57" s="126">
        <f>IF(AND('rates, dates, etc'!$B$8="no",'Budget Summary'!$L$99&lt;'Budget Summary'!$L$100),K63,K64)</f>
        <v>0</v>
      </c>
      <c r="L57" s="127">
        <f>SUM(B57:K57)</f>
        <v>0</v>
      </c>
      <c r="M57" s="107"/>
      <c r="S57" s="5"/>
      <c r="T57" s="5"/>
    </row>
    <row r="58" spans="1:20" ht="12" thickBot="1" x14ac:dyDescent="0.25">
      <c r="A58" s="100" t="s">
        <v>19</v>
      </c>
      <c r="B58" s="128">
        <f>+B55+B57</f>
        <v>0</v>
      </c>
      <c r="C58" s="128">
        <f t="shared" ref="C58:F58" si="44">+C55+C57</f>
        <v>0</v>
      </c>
      <c r="D58" s="128">
        <f t="shared" si="44"/>
        <v>0</v>
      </c>
      <c r="E58" s="128">
        <f t="shared" si="44"/>
        <v>0</v>
      </c>
      <c r="F58" s="128">
        <f t="shared" si="44"/>
        <v>0</v>
      </c>
      <c r="G58" s="128">
        <f t="shared" ref="G58:K58" si="45">+G55+G57</f>
        <v>0</v>
      </c>
      <c r="H58" s="128">
        <f t="shared" si="45"/>
        <v>0</v>
      </c>
      <c r="I58" s="128">
        <f t="shared" si="45"/>
        <v>0</v>
      </c>
      <c r="J58" s="128">
        <f t="shared" si="45"/>
        <v>0</v>
      </c>
      <c r="K58" s="128">
        <f t="shared" si="45"/>
        <v>0</v>
      </c>
      <c r="L58" s="129">
        <f>SUM(B58:K58)</f>
        <v>0</v>
      </c>
      <c r="Q58" s="4"/>
      <c r="S58" s="5"/>
      <c r="T58" s="5"/>
    </row>
    <row r="59" spans="1:20" x14ac:dyDescent="0.2">
      <c r="A59" s="7"/>
      <c r="B59" s="4"/>
      <c r="C59" s="4"/>
      <c r="D59" s="4"/>
      <c r="E59" s="4"/>
      <c r="F59" s="4"/>
      <c r="G59" s="4"/>
      <c r="H59" s="4"/>
      <c r="I59" s="4"/>
      <c r="J59" s="4"/>
      <c r="K59" s="4"/>
      <c r="Q59" s="4"/>
      <c r="S59" s="5"/>
      <c r="T59" s="5"/>
    </row>
    <row r="60" spans="1:20" ht="12" thickBo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20" ht="12" thickBot="1" x14ac:dyDescent="0.25">
      <c r="A61" s="20" t="s">
        <v>40</v>
      </c>
      <c r="B61" s="87">
        <f>+B49-IF(B49&lt;25000,B49,25000)</f>
        <v>0</v>
      </c>
      <c r="C61" s="87">
        <f>+C49-IF(+B49&gt;25000,0,IF(B49+C49&gt;25000,(25000-B49),C49))</f>
        <v>0</v>
      </c>
      <c r="D61" s="87">
        <f>+D49-IF(+B49+C49&gt;25000,0,IF(B49+C49+D49&gt;25000,(25000-(B49+C49)),D49))</f>
        <v>0</v>
      </c>
      <c r="E61" s="87">
        <f>+E49-IF(B49+C49+D49&gt;25000,0,IF(B49+C49+D49+E49&gt;25000,(25000-(C49+C49+D49)),E49))</f>
        <v>0</v>
      </c>
      <c r="F61" s="87">
        <f>+F49-IF(B49+C49+D49+E49&gt;25000,0,IF(B49+C49+D49+E49+F49&gt;25000,(25000-(B49+C49+D49+E49)),F49))</f>
        <v>0</v>
      </c>
      <c r="G61" s="87">
        <f t="shared" ref="G61:K61" si="46">+G49-IF(C49+D49+E49+F49&gt;25000,0,IF(C49+D49+E49+F49+G49&gt;25000,(25000-(C49+D49+E49+F49)),G49))</f>
        <v>0</v>
      </c>
      <c r="H61" s="87">
        <f t="shared" si="46"/>
        <v>0</v>
      </c>
      <c r="I61" s="87">
        <f t="shared" si="46"/>
        <v>0</v>
      </c>
      <c r="J61" s="87">
        <f t="shared" si="46"/>
        <v>0</v>
      </c>
      <c r="K61" s="87">
        <f t="shared" si="46"/>
        <v>0</v>
      </c>
      <c r="L61" s="92">
        <f>SUM(B61:K61)</f>
        <v>0</v>
      </c>
    </row>
    <row r="62" spans="1:20" ht="12" thickBo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20" ht="12" thickBot="1" x14ac:dyDescent="0.25">
      <c r="A63" s="90" t="s">
        <v>110</v>
      </c>
      <c r="B63" s="93">
        <f>IF('rates, dates, etc'!$B$8="Yes",0,ROUND((B55*O85*$P$89)+(B55*P85*$P$90),0))</f>
        <v>0</v>
      </c>
      <c r="C63" s="93">
        <f>IF('rates, dates, etc'!$B$8="Yes",0,ROUND((C55*P85*$P$89)+(C55*Q85*$P$90),0))</f>
        <v>0</v>
      </c>
      <c r="D63" s="93">
        <f>IF('rates, dates, etc'!$B$8="Yes",0,ROUND((D55*Q85*$P$89)+(D55*R85*$P$90),0))</f>
        <v>0</v>
      </c>
      <c r="E63" s="93">
        <f>IF('rates, dates, etc'!$B$8="Yes",0,ROUND((E55*R85*$P$89)+(E55*S85*$P$90),0))</f>
        <v>0</v>
      </c>
      <c r="F63" s="93">
        <f>IF('rates, dates, etc'!$B$8="Yes",0,ROUND((F55*S85*$P$89)+(F55*T85*$P$90),0))</f>
        <v>0</v>
      </c>
      <c r="G63" s="93">
        <f>IF('rates, dates, etc'!$B$8="Yes",0,ROUND((G55*T85*$P$89)+(G55*U85*$P$90),0))</f>
        <v>0</v>
      </c>
      <c r="H63" s="93">
        <f>IF('rates, dates, etc'!$B$8="Yes",0,ROUND((H55*U85*$P$89)+(H55*V85*$P$90),0))</f>
        <v>0</v>
      </c>
      <c r="I63" s="93">
        <f>IF('rates, dates, etc'!$B$8="Yes",0,ROUND((I55*V85*$P$89)+(I55*W85*$P$90),0))</f>
        <v>0</v>
      </c>
      <c r="J63" s="93">
        <f>IF('rates, dates, etc'!$B$8="Yes",0,ROUND((J55*W85*$P$89)+(J55*X85*$P$90),0))</f>
        <v>0</v>
      </c>
      <c r="K63" s="93">
        <f>IF('rates, dates, etc'!$B$8="Yes",0,ROUND((K55*X85*$P$89)+(K55*Y85*$P$90),0))</f>
        <v>0</v>
      </c>
      <c r="L63" s="93">
        <f>SUM(B63:K63)</f>
        <v>0</v>
      </c>
    </row>
    <row r="64" spans="1:20" ht="12" thickBot="1" x14ac:dyDescent="0.25">
      <c r="A64" s="91" t="s">
        <v>109</v>
      </c>
      <c r="B64" s="93">
        <f t="shared" ref="B64:K64" si="47">ROUND((B56*O86*$P$89)+(B56*P86*$P$90),0)</f>
        <v>0</v>
      </c>
      <c r="C64" s="95">
        <f t="shared" si="47"/>
        <v>0</v>
      </c>
      <c r="D64" s="95">
        <f t="shared" si="47"/>
        <v>0</v>
      </c>
      <c r="E64" s="95">
        <f t="shared" si="47"/>
        <v>0</v>
      </c>
      <c r="F64" s="95">
        <f t="shared" si="47"/>
        <v>0</v>
      </c>
      <c r="G64" s="95">
        <f t="shared" si="47"/>
        <v>0</v>
      </c>
      <c r="H64" s="95">
        <f t="shared" si="47"/>
        <v>0</v>
      </c>
      <c r="I64" s="95">
        <f t="shared" si="47"/>
        <v>0</v>
      </c>
      <c r="J64" s="95">
        <f t="shared" si="47"/>
        <v>0</v>
      </c>
      <c r="K64" s="95">
        <f t="shared" si="47"/>
        <v>0</v>
      </c>
      <c r="L64" s="93">
        <f>SUM(B64:K64)</f>
        <v>0</v>
      </c>
    </row>
    <row r="66" spans="14:26" ht="12" thickBot="1" x14ac:dyDescent="0.25">
      <c r="N66" s="43" t="s">
        <v>71</v>
      </c>
      <c r="O66" s="9" t="str">
        <f>+'rates, dates, etc'!B85</f>
        <v>Year 1</v>
      </c>
      <c r="P66" s="9" t="str">
        <f>+'rates, dates, etc'!C85</f>
        <v>Year 2</v>
      </c>
      <c r="Q66" s="9" t="str">
        <f>+'rates, dates, etc'!D85</f>
        <v>Year 3</v>
      </c>
      <c r="R66" s="9" t="str">
        <f>+'rates, dates, etc'!E85</f>
        <v>Year 4</v>
      </c>
      <c r="S66" s="9" t="str">
        <f>+'rates, dates, etc'!F85</f>
        <v>Year 5</v>
      </c>
      <c r="T66" s="9" t="str">
        <f>+'rates, dates, etc'!G85</f>
        <v>Year 6</v>
      </c>
      <c r="U66" s="9" t="str">
        <f>+'rates, dates, etc'!H85</f>
        <v>Year 7</v>
      </c>
      <c r="V66" s="9" t="str">
        <f>+'rates, dates, etc'!I85</f>
        <v>Year 8</v>
      </c>
      <c r="W66" s="9" t="str">
        <f>+'rates, dates, etc'!J85</f>
        <v>Year 9</v>
      </c>
      <c r="X66" s="9" t="str">
        <f>+'rates, dates, etc'!K85</f>
        <v>Year 10</v>
      </c>
    </row>
    <row r="67" spans="14:26" x14ac:dyDescent="0.2">
      <c r="N67" s="14" t="s">
        <v>32</v>
      </c>
      <c r="O67" s="15">
        <f>SUM('rates, dates, etc'!S323:S325)/3</f>
        <v>0</v>
      </c>
      <c r="P67" s="15">
        <f>SUM('rates, dates, etc'!T323:T325)/3</f>
        <v>0</v>
      </c>
      <c r="Q67" s="15">
        <f>SUM('rates, dates, etc'!U323:U325)/3</f>
        <v>0</v>
      </c>
      <c r="R67" s="15">
        <f>SUM('rates, dates, etc'!V323:V325)/3</f>
        <v>0</v>
      </c>
      <c r="S67" s="15">
        <f>SUM('rates, dates, etc'!W323:W325)/3</f>
        <v>0</v>
      </c>
      <c r="T67" s="15">
        <f>SUM('rates, dates, etc'!X323:X325)/3</f>
        <v>0</v>
      </c>
      <c r="U67" s="15">
        <f>SUM('rates, dates, etc'!Y323:Y325)/3</f>
        <v>0</v>
      </c>
      <c r="V67" s="15">
        <f>SUM('rates, dates, etc'!Z323:Z325)/3</f>
        <v>0</v>
      </c>
      <c r="W67" s="15">
        <f>SUM('rates, dates, etc'!AA323:AA325)/3</f>
        <v>0</v>
      </c>
      <c r="X67" s="15">
        <f>SUM('rates, dates, etc'!AB323:AB325)/3</f>
        <v>0</v>
      </c>
    </row>
    <row r="68" spans="14:26" x14ac:dyDescent="0.2">
      <c r="N68" s="3" t="s">
        <v>144</v>
      </c>
      <c r="O68" s="4">
        <f>(SUMIF('rates, dates, etc'!$R$339:$R$347,"Stipend (Fall)",'rates, dates, etc'!S339:S347))+
(SUMIF('rates, dates, etc'!$R$339:$R$347,"Stipend (Spring)",'rates, dates, etc'!S339:S347))</f>
        <v>0</v>
      </c>
      <c r="P68" s="4">
        <f>(SUMIF('rates, dates, etc'!$R$339:$R$347,"Stipend (Fall)",'rates, dates, etc'!T339:T347))+
(SUMIF('rates, dates, etc'!$R$339:$R$347,"Stipend (Spring)",'rates, dates, etc'!T339:T347))</f>
        <v>0</v>
      </c>
      <c r="Q68" s="4">
        <f>(SUMIF('rates, dates, etc'!$R$339:$R$347,"Stipend (Fall)",'rates, dates, etc'!U339:U347))+
(SUMIF('rates, dates, etc'!$R$339:$R$347,"Stipend (Spring)",'rates, dates, etc'!U339:U347))</f>
        <v>0</v>
      </c>
      <c r="R68" s="4">
        <f>(SUMIF('rates, dates, etc'!$R$339:$R$347,"Stipend (Fall)",'rates, dates, etc'!V339:V347))+
(SUMIF('rates, dates, etc'!$R$339:$R$347,"Stipend (Spring)",'rates, dates, etc'!V339:V347))</f>
        <v>0</v>
      </c>
      <c r="S68" s="4">
        <f>(SUMIF('rates, dates, etc'!$R$339:$R$347,"Stipend (Fall)",'rates, dates, etc'!W339:W347))+
(SUMIF('rates, dates, etc'!$R$339:$R$347,"Stipend (Spring)",'rates, dates, etc'!W339:W347))</f>
        <v>0</v>
      </c>
      <c r="T68" s="4">
        <f>(SUMIF('rates, dates, etc'!$R$339:$R$347,"Stipend (Fall)",'rates, dates, etc'!X339:X347))+
(SUMIF('rates, dates, etc'!$R$339:$R$347,"Stipend (Spring)",'rates, dates, etc'!X339:X347))</f>
        <v>0</v>
      </c>
      <c r="U68" s="4">
        <f>(SUMIF('rates, dates, etc'!$R$339:$R$347,"Stipend (Fall)",'rates, dates, etc'!Y339:Y347))+
(SUMIF('rates, dates, etc'!$R$339:$R$347,"Stipend (Spring)",'rates, dates, etc'!Y339:Y347))</f>
        <v>0</v>
      </c>
      <c r="V68" s="4">
        <f>(SUMIF('rates, dates, etc'!$R$339:$R$347,"Stipend (Fall)",'rates, dates, etc'!Z339:Z347))+
(SUMIF('rates, dates, etc'!$R$339:$R$347,"Stipend (Spring)",'rates, dates, etc'!Z339:Z347))</f>
        <v>0</v>
      </c>
      <c r="W68" s="4">
        <f>(SUMIF('rates, dates, etc'!$R$339:$R$347,"Stipend (Fall)",'rates, dates, etc'!AA339:AA347))+
(SUMIF('rates, dates, etc'!$R$339:$R$347,"Stipend (Spring)",'rates, dates, etc'!AA339:AA347))</f>
        <v>0</v>
      </c>
      <c r="X68" s="4">
        <f>(SUMIF('rates, dates, etc'!$R$339:$R$347,"Stipend (Fall)",'rates, dates, etc'!AB339:AB347))+
(SUMIF('rates, dates, etc'!$R$339:$R$347,"Stipend (Spring)",'rates, dates, etc'!AB339:AB347))</f>
        <v>0</v>
      </c>
    </row>
    <row r="69" spans="14:26" x14ac:dyDescent="0.2">
      <c r="N69" s="3" t="s">
        <v>145</v>
      </c>
      <c r="O69" s="4">
        <f>(SUMIF('rates, dates, etc'!$R$339:$R$347,"Stipend (Summer)",'rates, dates, etc'!S339:S347))</f>
        <v>0</v>
      </c>
      <c r="P69" s="4">
        <f>(SUMIF('rates, dates, etc'!$R$339:$R$347,"Stipend (Summer)",'rates, dates, etc'!T339:T347))</f>
        <v>0</v>
      </c>
      <c r="Q69" s="4">
        <f>(SUMIF('rates, dates, etc'!$R$339:$R$347,"Stipend (Summer)",'rates, dates, etc'!U339:U347))</f>
        <v>0</v>
      </c>
      <c r="R69" s="4">
        <f>(SUMIF('rates, dates, etc'!$R$339:$R$347,"Stipend (Summer)",'rates, dates, etc'!V339:V347))</f>
        <v>0</v>
      </c>
      <c r="S69" s="4">
        <f>(SUMIF('rates, dates, etc'!$R$339:$R$347,"Stipend (Summer)",'rates, dates, etc'!W339:W347))</f>
        <v>0</v>
      </c>
      <c r="T69" s="4">
        <f>(SUMIF('rates, dates, etc'!$R$339:$R$347,"Stipend (Summer)",'rates, dates, etc'!X339:X347))</f>
        <v>0</v>
      </c>
      <c r="U69" s="4">
        <f>(SUMIF('rates, dates, etc'!$R$339:$R$347,"Stipend (Summer)",'rates, dates, etc'!Y339:Y347))</f>
        <v>0</v>
      </c>
      <c r="V69" s="4">
        <f>(SUMIF('rates, dates, etc'!$R$339:$R$347,"Stipend (Summer)",'rates, dates, etc'!Z339:Z347))</f>
        <v>0</v>
      </c>
      <c r="W69" s="4">
        <f>(SUMIF('rates, dates, etc'!$R$339:$R$347,"Stipend (Summer)",'rates, dates, etc'!AA339:AA347))</f>
        <v>0</v>
      </c>
      <c r="X69" s="4">
        <f>(SUMIF('rates, dates, etc'!$R$339:$R$347,"Stipend (Summer)",'rates, dates, etc'!AB339:AB347))</f>
        <v>0</v>
      </c>
    </row>
    <row r="70" spans="14:26" x14ac:dyDescent="0.2">
      <c r="N70" s="3" t="s">
        <v>8</v>
      </c>
      <c r="O70" s="4">
        <f>(SUMIF('rates, dates, etc'!$R$339:$R$347,"Tuition (Fall)",'rates, dates, etc'!S339:S347))+
(SUMIF('rates, dates, etc'!$R$339:$R$347,"Tuition (Spring)",'rates, dates, etc'!S339:S347))+
(SUMIF('rates, dates, etc'!$R$339:$R$347,"Tuition (Summer)",'rates, dates, etc'!S339:S347))</f>
        <v>0</v>
      </c>
      <c r="P70" s="4">
        <f>(SUMIF('rates, dates, etc'!$R$339:$R$347,"Tuition (Fall)",'rates, dates, etc'!T339:T347))+
(SUMIF('rates, dates, etc'!$R$339:$R$347,"Tuition (Spring)",'rates, dates, etc'!T339:T347))+
(SUMIF('rates, dates, etc'!$R$339:$R$347,"Tuition (Summer)",'rates, dates, etc'!T339:T347))</f>
        <v>0</v>
      </c>
      <c r="Q70" s="4">
        <f>(SUMIF('rates, dates, etc'!$R$339:$R$347,"Tuition (Fall)",'rates, dates, etc'!U339:U347))+
(SUMIF('rates, dates, etc'!$R$339:$R$347,"Tuition (Spring)",'rates, dates, etc'!U339:U347))+
(SUMIF('rates, dates, etc'!$R$339:$R$347,"Tuition (Summer)",'rates, dates, etc'!U339:U347))</f>
        <v>0</v>
      </c>
      <c r="R70" s="4">
        <f>(SUMIF('rates, dates, etc'!$R$339:$R$347,"Tuition (Fall)",'rates, dates, etc'!V339:V347))+
(SUMIF('rates, dates, etc'!$R$339:$R$347,"Tuition (Spring)",'rates, dates, etc'!V339:V347))+
(SUMIF('rates, dates, etc'!$R$339:$R$347,"Tuition (Summer)",'rates, dates, etc'!V339:V347))</f>
        <v>0</v>
      </c>
      <c r="S70" s="4">
        <f>(SUMIF('rates, dates, etc'!$R$339:$R$347,"Tuition (Fall)",'rates, dates, etc'!W339:W347))+
(SUMIF('rates, dates, etc'!$R$339:$R$347,"Tuition (Spring)",'rates, dates, etc'!W339:W347))+
(SUMIF('rates, dates, etc'!$R$339:$R$347,"Tuition (Summer)",'rates, dates, etc'!W339:W347))</f>
        <v>0</v>
      </c>
      <c r="T70" s="4">
        <f>(SUMIF('rates, dates, etc'!$R$339:$R$347,"Tuition (Fall)",'rates, dates, etc'!X339:X347))+
(SUMIF('rates, dates, etc'!$R$339:$R$347,"Tuition (Spring)",'rates, dates, etc'!X339:X347))+
(SUMIF('rates, dates, etc'!$R$339:$R$347,"Tuition (Summer)",'rates, dates, etc'!X339:X347))</f>
        <v>0</v>
      </c>
      <c r="U70" s="4">
        <f>(SUMIF('rates, dates, etc'!$R$339:$R$347,"Tuition (Fall)",'rates, dates, etc'!Y339:Y347))+
(SUMIF('rates, dates, etc'!$R$339:$R$347,"Tuition (Spring)",'rates, dates, etc'!Y339:Y347))+
(SUMIF('rates, dates, etc'!$R$339:$R$347,"Tuition (Summer)",'rates, dates, etc'!Y339:Y347))</f>
        <v>0</v>
      </c>
      <c r="V70" s="4">
        <f>(SUMIF('rates, dates, etc'!$R$339:$R$347,"Tuition (Fall)",'rates, dates, etc'!Z339:Z347))+
(SUMIF('rates, dates, etc'!$R$339:$R$347,"Tuition (Spring)",'rates, dates, etc'!Z339:Z347))+
(SUMIF('rates, dates, etc'!$R$339:$R$347,"Tuition (Summer)",'rates, dates, etc'!Z339:Z347))</f>
        <v>0</v>
      </c>
      <c r="W70" s="4">
        <f>(SUMIF('rates, dates, etc'!$R$339:$R$347,"Tuition (Fall)",'rates, dates, etc'!AA339:AA347))+
(SUMIF('rates, dates, etc'!$R$339:$R$347,"Tuition (Spring)",'rates, dates, etc'!AA339:AA347))+
(SUMIF('rates, dates, etc'!$R$339:$R$347,"Tuition (Summer)",'rates, dates, etc'!AA339:AA347))</f>
        <v>0</v>
      </c>
      <c r="X70" s="4">
        <f>(SUMIF('rates, dates, etc'!$R$339:$R$347,"Tuition (Fall)",'rates, dates, etc'!AB339:AB347))+
(SUMIF('rates, dates, etc'!$R$339:$R$347,"Tuition (Spring)",'rates, dates, etc'!AB339:AB347))+
(SUMIF('rates, dates, etc'!$R$339:$R$347,"Tuition (Summer)",'rates, dates, etc'!AB339:AB347))</f>
        <v>0</v>
      </c>
    </row>
    <row r="71" spans="14:26" x14ac:dyDescent="0.2">
      <c r="N71" s="3" t="s">
        <v>9</v>
      </c>
      <c r="O71" s="4">
        <f>(SUMIF('rates, dates, etc'!$R$339:$R$347,"Health Insurance (Fall)",'rates, dates, etc'!S339:S347))+
(SUMIF('rates, dates, etc'!$R$339:$R$347,"Health Insurance (Spring)",'rates, dates, etc'!S339:S347))+
(SUMIF('rates, dates, etc'!$R$339:$R$347,"Health Insurance (Summer)",'rates, dates, etc'!S339:S347))</f>
        <v>0</v>
      </c>
      <c r="P71" s="4">
        <f>(SUMIF('rates, dates, etc'!$R$339:$R$347,"Health Insurance (Fall)",'rates, dates, etc'!T339:T347))+
(SUMIF('rates, dates, etc'!$R$339:$R$347,"Health Insurance (Spring)",'rates, dates, etc'!T339:T347))+
(SUMIF('rates, dates, etc'!$R$339:$R$347,"Health Insurance (Summer)",'rates, dates, etc'!T339:T347))</f>
        <v>0</v>
      </c>
      <c r="Q71" s="4">
        <f>(SUMIF('rates, dates, etc'!$R$339:$R$347,"Health Insurance (Fall)",'rates, dates, etc'!U339:U347))+
(SUMIF('rates, dates, etc'!$R$339:$R$347,"Health Insurance (Spring)",'rates, dates, etc'!U339:U347))+
(SUMIF('rates, dates, etc'!$R$339:$R$347,"Health Insurance (Summer)",'rates, dates, etc'!U339:U347))</f>
        <v>0</v>
      </c>
      <c r="R71" s="4">
        <f>(SUMIF('rates, dates, etc'!$R$339:$R$347,"Health Insurance (Fall)",'rates, dates, etc'!V339:V347))+
(SUMIF('rates, dates, etc'!$R$339:$R$347,"Health Insurance (Spring)",'rates, dates, etc'!V339:V347))+
(SUMIF('rates, dates, etc'!$R$339:$R$347,"Health Insurance (Summer)",'rates, dates, etc'!V339:V347))</f>
        <v>0</v>
      </c>
      <c r="S71" s="4">
        <f>(SUMIF('rates, dates, etc'!$R$339:$R$347,"Health Insurance (Fall)",'rates, dates, etc'!W339:W347))+
(SUMIF('rates, dates, etc'!$R$339:$R$347,"Health Insurance (Spring)",'rates, dates, etc'!W339:W347))+
(SUMIF('rates, dates, etc'!$R$339:$R$347,"Health Insurance (Summer)",'rates, dates, etc'!W339:W347))</f>
        <v>0</v>
      </c>
      <c r="T71" s="4">
        <f>(SUMIF('rates, dates, etc'!$R$339:$R$347,"Health Insurance (Fall)",'rates, dates, etc'!X339:X347))+
(SUMIF('rates, dates, etc'!$R$339:$R$347,"Health Insurance (Spring)",'rates, dates, etc'!X339:X347))+
(SUMIF('rates, dates, etc'!$R$339:$R$347,"Health Insurance (Summer)",'rates, dates, etc'!X339:X347))</f>
        <v>0</v>
      </c>
      <c r="U71" s="4">
        <f>(SUMIF('rates, dates, etc'!$R$339:$R$347,"Health Insurance (Fall)",'rates, dates, etc'!Y339:Y347))+
(SUMIF('rates, dates, etc'!$R$339:$R$347,"Health Insurance (Spring)",'rates, dates, etc'!Y339:Y347))+
(SUMIF('rates, dates, etc'!$R$339:$R$347,"Health Insurance (Summer)",'rates, dates, etc'!Y339:Y347))</f>
        <v>0</v>
      </c>
      <c r="V71" s="4">
        <f>(SUMIF('rates, dates, etc'!$R$339:$R$347,"Health Insurance (Fall)",'rates, dates, etc'!Z339:Z347))+
(SUMIF('rates, dates, etc'!$R$339:$R$347,"Health Insurance (Spring)",'rates, dates, etc'!Z339:Z347))+
(SUMIF('rates, dates, etc'!$R$339:$R$347,"Health Insurance (Summer)",'rates, dates, etc'!Z339:Z347))</f>
        <v>0</v>
      </c>
      <c r="W71" s="4">
        <f>(SUMIF('rates, dates, etc'!$R$339:$R$347,"Health Insurance (Fall)",'rates, dates, etc'!AA339:AA347))+
(SUMIF('rates, dates, etc'!$R$339:$R$347,"Health Insurance (Spring)",'rates, dates, etc'!AA339:AA347))+
(SUMIF('rates, dates, etc'!$R$339:$R$347,"Health Insurance (Summer)",'rates, dates, etc'!AA339:AA347))</f>
        <v>0</v>
      </c>
      <c r="X71" s="4">
        <f>(SUMIF('rates, dates, etc'!$R$339:$R$347,"Health Insurance (Fall)",'rates, dates, etc'!AB339:AB347))+
(SUMIF('rates, dates, etc'!$R$339:$R$347,"Health Insurance (Spring)",'rates, dates, etc'!AB339:AB347))+
(SUMIF('rates, dates, etc'!$R$339:$R$347,"Health Insurance (Summer)",'rates, dates, etc'!AB339:AB347))</f>
        <v>0</v>
      </c>
    </row>
    <row r="72" spans="14:26" ht="12" thickBot="1" x14ac:dyDescent="0.25">
      <c r="N72" s="13" t="s">
        <v>31</v>
      </c>
      <c r="O72" s="16">
        <f>SUM(O68:O71)</f>
        <v>0</v>
      </c>
      <c r="P72" s="16">
        <f>SUM(P68:P71)</f>
        <v>0</v>
      </c>
      <c r="Q72" s="16">
        <f>SUM(Q68:Q71)</f>
        <v>0</v>
      </c>
      <c r="R72" s="16">
        <f>SUM(R68:R71)</f>
        <v>0</v>
      </c>
      <c r="S72" s="16">
        <f>SUM(S68:S71)</f>
        <v>0</v>
      </c>
      <c r="T72" s="16">
        <f t="shared" ref="T72:X72" si="48">SUM(T68:T71)</f>
        <v>0</v>
      </c>
      <c r="U72" s="16">
        <f t="shared" si="48"/>
        <v>0</v>
      </c>
      <c r="V72" s="16">
        <f t="shared" si="48"/>
        <v>0</v>
      </c>
      <c r="W72" s="16">
        <f t="shared" si="48"/>
        <v>0</v>
      </c>
      <c r="X72" s="16">
        <f t="shared" si="48"/>
        <v>0</v>
      </c>
    </row>
    <row r="76" spans="14:26" x14ac:dyDescent="0.2">
      <c r="N76" s="44" t="s">
        <v>33</v>
      </c>
    </row>
    <row r="77" spans="14:26" x14ac:dyDescent="0.2">
      <c r="N77" s="64" t="s">
        <v>103</v>
      </c>
      <c r="O77" s="65" t="str">
        <f>+'rates, dates, etc'!AE5</f>
        <v>FY2026</v>
      </c>
      <c r="P77" s="65" t="str">
        <f>+'rates, dates, etc'!AF5</f>
        <v>FY2027</v>
      </c>
      <c r="Q77" s="65" t="str">
        <f>+'rates, dates, etc'!AG5</f>
        <v>FY2028</v>
      </c>
      <c r="R77" s="65" t="str">
        <f>+'rates, dates, etc'!AH5</f>
        <v>FY2029</v>
      </c>
      <c r="S77" s="65" t="str">
        <f>+'rates, dates, etc'!AI5</f>
        <v>FY2030</v>
      </c>
      <c r="T77" s="65" t="str">
        <f>+'rates, dates, etc'!AJ5</f>
        <v>FY2031</v>
      </c>
      <c r="U77" s="65" t="str">
        <f>+'rates, dates, etc'!AK5</f>
        <v>FY2032</v>
      </c>
      <c r="V77" s="65" t="str">
        <f>+'rates, dates, etc'!AL5</f>
        <v>FY2033</v>
      </c>
      <c r="W77" s="65" t="str">
        <f>+'rates, dates, etc'!AM5</f>
        <v>FY2034</v>
      </c>
      <c r="X77" s="65" t="str">
        <f>+'rates, dates, etc'!AN5</f>
        <v>FY2035</v>
      </c>
      <c r="Y77" s="65" t="str">
        <f>+'rates, dates, etc'!AO5</f>
        <v>FY2036</v>
      </c>
      <c r="Z77" s="65"/>
    </row>
    <row r="78" spans="14:26" x14ac:dyDescent="0.2">
      <c r="N78" s="2" t="str">
        <f>+'rates, dates, etc'!A281</f>
        <v xml:space="preserve">   Endowed - Senior Personnel</v>
      </c>
      <c r="O78" s="9">
        <f>IF('rates, dates, etc'!B280='rates, dates, etc'!AE5,'rates, dates, etc'!B281,'rates, dates, etc'!C281)</f>
        <v>0.35</v>
      </c>
      <c r="P78" s="9">
        <f>IF('rates, dates, etc'!C280='rates, dates, etc'!AF5,'rates, dates, etc'!C281,'rates, dates, etc'!D281)</f>
        <v>0.35499999999999998</v>
      </c>
      <c r="Q78" s="9">
        <f>IF('rates, dates, etc'!D280='rates, dates, etc'!AG5,'rates, dates, etc'!D281,'rates, dates, etc'!E281)</f>
        <v>0.37</v>
      </c>
      <c r="R78" s="9">
        <f>IF('rates, dates, etc'!E280='rates, dates, etc'!AH5,'rates, dates, etc'!E281,'rates, dates, etc'!F281)</f>
        <v>0.37</v>
      </c>
      <c r="S78" s="9">
        <f>IF('rates, dates, etc'!F280='rates, dates, etc'!AI5,'rates, dates, etc'!F281,'rates, dates, etc'!G281)</f>
        <v>0.37</v>
      </c>
      <c r="T78" s="9">
        <f>IF('rates, dates, etc'!G280='rates, dates, etc'!AJ5,'rates, dates, etc'!G281,'rates, dates, etc'!H281)</f>
        <v>0.37</v>
      </c>
      <c r="U78" s="9">
        <f>IF('rates, dates, etc'!H280='rates, dates, etc'!AK5,'rates, dates, etc'!H281,'rates, dates, etc'!I281)</f>
        <v>0.37</v>
      </c>
      <c r="V78" s="9">
        <f>IF('rates, dates, etc'!I280='rates, dates, etc'!AL5,'rates, dates, etc'!I281,'rates, dates, etc'!J281)</f>
        <v>0.37</v>
      </c>
      <c r="W78" s="9">
        <f>IF('rates, dates, etc'!J280='rates, dates, etc'!AM5,'rates, dates, etc'!J281,'rates, dates, etc'!K281)</f>
        <v>0.37</v>
      </c>
      <c r="X78" s="9">
        <f>IF('rates, dates, etc'!K280='rates, dates, etc'!AN5,'rates, dates, etc'!K281,'rates, dates, etc'!L281)</f>
        <v>0.37</v>
      </c>
      <c r="Y78" s="9">
        <f>IF('rates, dates, etc'!L280='rates, dates, etc'!AO5,'rates, dates, etc'!L281,'rates, dates, etc'!M281)</f>
        <v>0.37</v>
      </c>
      <c r="Z78" s="9"/>
    </row>
    <row r="79" spans="14:26" x14ac:dyDescent="0.2">
      <c r="O79" s="1"/>
      <c r="P79" s="1"/>
    </row>
    <row r="80" spans="14:26" x14ac:dyDescent="0.2">
      <c r="N80" s="64" t="s">
        <v>104</v>
      </c>
      <c r="O80" s="45" t="str">
        <f>+'rates, dates, etc'!AE4</f>
        <v>FY2025</v>
      </c>
      <c r="P80" s="45" t="str">
        <f>+'rates, dates, etc'!AF4</f>
        <v>FY2026</v>
      </c>
      <c r="Q80" s="45" t="str">
        <f>+'rates, dates, etc'!AG4</f>
        <v>FY2027</v>
      </c>
      <c r="R80" s="45" t="str">
        <f>+'rates, dates, etc'!AH4</f>
        <v>FY2028</v>
      </c>
      <c r="S80" s="45" t="str">
        <f>+'rates, dates, etc'!AI4</f>
        <v>FY2029</v>
      </c>
      <c r="T80" s="45" t="str">
        <f>+'rates, dates, etc'!AJ4</f>
        <v>FY2030</v>
      </c>
      <c r="U80" s="45" t="str">
        <f>+'rates, dates, etc'!AK4</f>
        <v>FY2031</v>
      </c>
      <c r="V80" s="45" t="str">
        <f>+'rates, dates, etc'!AL4</f>
        <v>FY2032</v>
      </c>
      <c r="W80" s="45" t="str">
        <f>+'rates, dates, etc'!AM4</f>
        <v>FY2033</v>
      </c>
      <c r="X80" s="45" t="str">
        <f>+'rates, dates, etc'!AN4</f>
        <v>FY2034</v>
      </c>
      <c r="Y80" s="45" t="str">
        <f>+'rates, dates, etc'!AO4</f>
        <v>FY2035</v>
      </c>
      <c r="Z80" s="45" t="str">
        <f>+'rates, dates, etc'!AP4</f>
        <v>FY2036</v>
      </c>
    </row>
    <row r="81" spans="14:26" x14ac:dyDescent="0.2">
      <c r="N81" s="2" t="str">
        <f>+'rates, dates, etc'!A281</f>
        <v xml:space="preserve">   Endowed - Senior Personnel</v>
      </c>
      <c r="O81" s="123">
        <f>+'rates, dates, etc'!B281</f>
        <v>0.35</v>
      </c>
      <c r="P81" s="123">
        <f>+'rates, dates, etc'!C281</f>
        <v>0.35</v>
      </c>
      <c r="Q81" s="123">
        <f>+'rates, dates, etc'!D281</f>
        <v>0.35499999999999998</v>
      </c>
      <c r="R81" s="123">
        <f>+'rates, dates, etc'!E281</f>
        <v>0.37</v>
      </c>
      <c r="S81" s="123">
        <f>+'rates, dates, etc'!F281</f>
        <v>0.37</v>
      </c>
      <c r="T81" s="123">
        <f>+'rates, dates, etc'!G281</f>
        <v>0.37</v>
      </c>
      <c r="U81" s="123">
        <f>+'rates, dates, etc'!H281</f>
        <v>0.37</v>
      </c>
      <c r="V81" s="123">
        <f>+'rates, dates, etc'!I281</f>
        <v>0.37</v>
      </c>
      <c r="W81" s="123">
        <f>+'rates, dates, etc'!J281</f>
        <v>0.37</v>
      </c>
      <c r="X81" s="123">
        <f>+'rates, dates, etc'!K281</f>
        <v>0.37</v>
      </c>
      <c r="Y81" s="123">
        <f>+'rates, dates, etc'!L281</f>
        <v>0.37</v>
      </c>
      <c r="Z81" s="123">
        <f>+'rates, dates, etc'!M281</f>
        <v>0.37</v>
      </c>
    </row>
    <row r="82" spans="14:26" x14ac:dyDescent="0.2">
      <c r="N82" s="2" t="str">
        <f>+'rates, dates, etc'!A282</f>
        <v xml:space="preserve">   Endowed - Post Doc</v>
      </c>
      <c r="O82" s="1">
        <f>+'rates, dates, etc'!B282</f>
        <v>0.35</v>
      </c>
      <c r="P82" s="1">
        <f>+'rates, dates, etc'!C282</f>
        <v>0.35</v>
      </c>
      <c r="Q82" s="1">
        <f>+'rates, dates, etc'!D282</f>
        <v>0.35499999999999998</v>
      </c>
      <c r="R82" s="1">
        <f>+'rates, dates, etc'!E282</f>
        <v>0.37</v>
      </c>
      <c r="S82" s="1">
        <f>+'rates, dates, etc'!F282</f>
        <v>0.37</v>
      </c>
      <c r="T82" s="1">
        <f>+'rates, dates, etc'!G282</f>
        <v>0.37</v>
      </c>
      <c r="U82" s="1">
        <f>+'rates, dates, etc'!H282</f>
        <v>0.37</v>
      </c>
      <c r="V82" s="1">
        <f>+'rates, dates, etc'!I282</f>
        <v>0.37</v>
      </c>
      <c r="W82" s="1">
        <f>+'rates, dates, etc'!J282</f>
        <v>0.37</v>
      </c>
      <c r="X82" s="1">
        <f>+'rates, dates, etc'!K282</f>
        <v>0.37</v>
      </c>
      <c r="Y82" s="1">
        <f>+'rates, dates, etc'!L282</f>
        <v>0.37</v>
      </c>
      <c r="Z82" s="1">
        <f>+'rates, dates, etc'!M282</f>
        <v>0.37</v>
      </c>
    </row>
    <row r="83" spans="14:26" x14ac:dyDescent="0.2">
      <c r="N83" s="2" t="str">
        <f>+'rates, dates, etc'!A283</f>
        <v xml:space="preserve">   Endowed - Other Employee</v>
      </c>
      <c r="O83" s="1">
        <f>+'rates, dates, etc'!B283</f>
        <v>0.35</v>
      </c>
      <c r="P83" s="1">
        <f>+'rates, dates, etc'!C283</f>
        <v>0.35</v>
      </c>
      <c r="Q83" s="1">
        <f>+'rates, dates, etc'!D283</f>
        <v>0.35499999999999998</v>
      </c>
      <c r="R83" s="1">
        <f>+'rates, dates, etc'!E283</f>
        <v>0.37</v>
      </c>
      <c r="S83" s="1">
        <f>+'rates, dates, etc'!F283</f>
        <v>0.37</v>
      </c>
      <c r="T83" s="1">
        <f>+'rates, dates, etc'!G283</f>
        <v>0.37</v>
      </c>
      <c r="U83" s="1">
        <f>+'rates, dates, etc'!H283</f>
        <v>0.37</v>
      </c>
      <c r="V83" s="1">
        <f>+'rates, dates, etc'!I283</f>
        <v>0.37</v>
      </c>
      <c r="W83" s="1">
        <f>+'rates, dates, etc'!J283</f>
        <v>0.37</v>
      </c>
      <c r="X83" s="1">
        <f>+'rates, dates, etc'!K283</f>
        <v>0.37</v>
      </c>
      <c r="Y83" s="1">
        <f>+'rates, dates, etc'!L283</f>
        <v>0.37</v>
      </c>
      <c r="Z83" s="1">
        <f>+'rates, dates, etc'!M283</f>
        <v>0.37</v>
      </c>
    </row>
    <row r="85" spans="14:26" x14ac:dyDescent="0.2">
      <c r="N85" s="64" t="str">
        <f>+'rates, dates, etc'!A42</f>
        <v/>
      </c>
      <c r="O85" s="1" t="str">
        <f>+'rates, dates, etc'!B42</f>
        <v/>
      </c>
      <c r="P85" s="1" t="str">
        <f>+'rates, dates, etc'!C42</f>
        <v/>
      </c>
      <c r="Q85" s="1" t="str">
        <f>+'rates, dates, etc'!D42</f>
        <v/>
      </c>
      <c r="R85" s="1" t="str">
        <f>+'rates, dates, etc'!E42</f>
        <v/>
      </c>
      <c r="S85" s="1" t="str">
        <f>+'rates, dates, etc'!F42</f>
        <v/>
      </c>
      <c r="T85" s="1" t="str">
        <f>+'rates, dates, etc'!G42</f>
        <v/>
      </c>
      <c r="U85" s="1" t="str">
        <f>+'rates, dates, etc'!H42</f>
        <v/>
      </c>
      <c r="V85" s="1" t="str">
        <f>+'rates, dates, etc'!I42</f>
        <v/>
      </c>
      <c r="W85" s="1" t="str">
        <f>+'rates, dates, etc'!J42</f>
        <v/>
      </c>
      <c r="X85" s="1" t="str">
        <f>+'rates, dates, etc'!K42</f>
        <v/>
      </c>
      <c r="Y85" s="1" t="str">
        <f>+'rates, dates, etc'!L42</f>
        <v/>
      </c>
      <c r="Z85" s="1" t="str">
        <f>+'rates, dates, etc'!M42</f>
        <v/>
      </c>
    </row>
    <row r="86" spans="14:26" x14ac:dyDescent="0.2">
      <c r="N86" s="47" t="str">
        <f>+'rates, dates, etc'!A284</f>
        <v>Cornell IDC Rate - Endowed College</v>
      </c>
      <c r="O86" s="1">
        <f>+'rates, dates, etc'!B284</f>
        <v>0.64</v>
      </c>
      <c r="P86" s="1">
        <f>+'rates, dates, etc'!C284</f>
        <v>0.64</v>
      </c>
      <c r="Q86" s="1">
        <f>+'rates, dates, etc'!D284</f>
        <v>0.64</v>
      </c>
      <c r="R86" s="1">
        <f>+'rates, dates, etc'!E284</f>
        <v>0.64</v>
      </c>
      <c r="S86" s="1">
        <f>+'rates, dates, etc'!F284</f>
        <v>0.64</v>
      </c>
      <c r="T86" s="1">
        <f>+'rates, dates, etc'!G284</f>
        <v>0.64</v>
      </c>
      <c r="U86" s="1">
        <f>+'rates, dates, etc'!H284</f>
        <v>0.64</v>
      </c>
      <c r="V86" s="1">
        <f>+'rates, dates, etc'!I284</f>
        <v>0.64</v>
      </c>
      <c r="W86" s="1">
        <f>+'rates, dates, etc'!J284</f>
        <v>0.64</v>
      </c>
      <c r="X86" s="1">
        <f>+'rates, dates, etc'!K284</f>
        <v>0.64</v>
      </c>
      <c r="Y86" s="1">
        <f>+'rates, dates, etc'!L284</f>
        <v>0.64</v>
      </c>
      <c r="Z86" s="1">
        <f>+'rates, dates, etc'!M284</f>
        <v>0.64</v>
      </c>
    </row>
    <row r="87" spans="14:26" x14ac:dyDescent="0.2">
      <c r="S87" s="5"/>
      <c r="T87" s="5"/>
    </row>
    <row r="88" spans="14:26" x14ac:dyDescent="0.2">
      <c r="N88" s="47" t="str">
        <f>+'rates, dates, etc'!O40</f>
        <v>Pro-rating factor for 12 month appts.:</v>
      </c>
      <c r="O88" s="9" t="s">
        <v>36</v>
      </c>
      <c r="P88" s="9" t="s">
        <v>52</v>
      </c>
      <c r="S88" s="5"/>
      <c r="T88" s="5"/>
    </row>
    <row r="89" spans="14:26" x14ac:dyDescent="0.2">
      <c r="N89" s="48" t="s">
        <v>46</v>
      </c>
      <c r="O89" s="44">
        <f>+'rates, dates, etc'!P41</f>
        <v>6</v>
      </c>
      <c r="P89" s="44">
        <f>+'rates, dates, etc'!Q41</f>
        <v>0.5</v>
      </c>
      <c r="S89" s="5"/>
      <c r="T89" s="5"/>
    </row>
    <row r="90" spans="14:26" x14ac:dyDescent="0.2">
      <c r="N90" s="48" t="s">
        <v>47</v>
      </c>
      <c r="O90" s="44">
        <f>+'rates, dates, etc'!P42</f>
        <v>6</v>
      </c>
      <c r="P90" s="44">
        <f>+'rates, dates, etc'!Q42</f>
        <v>0.5</v>
      </c>
    </row>
    <row r="91" spans="14:26" x14ac:dyDescent="0.2">
      <c r="N91" s="46"/>
      <c r="O91" s="49">
        <f>SUM(O89:O90)</f>
        <v>12</v>
      </c>
      <c r="P91" s="1" t="s">
        <v>83</v>
      </c>
    </row>
  </sheetData>
  <pageMargins left="0.75" right="0.53" top="0.7" bottom="0.64" header="0.5" footer="0.5"/>
  <pageSetup scale="95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30BDA298-9C95-4E3A-BDA8-0F78354207C5}">
            <xm:f>'rates, dates, etc'!$B$8="Yes"</xm:f>
            <x14:dxf/>
          </x14:cfRule>
          <x14:cfRule type="expression" priority="2" id="{98648DFB-7B22-413F-8D42-9AA39569B641}">
            <xm:f>'Budget Summary'!$L$103&lt;'Budget Summary'!$L$104</xm:f>
            <x14:dxf>
              <font>
                <color rgb="FFFF0000"/>
              </font>
            </x14:dxf>
          </x14:cfRule>
          <xm:sqref>A63:L63</xm:sqref>
        </x14:conditionalFormatting>
        <x14:conditionalFormatting xmlns:xm="http://schemas.microsoft.com/office/excel/2006/main">
          <x14:cfRule type="expression" priority="3" stopIfTrue="1" id="{3B4D5A24-A1D7-409C-9DBB-950196B14BF1}">
            <xm:f>'rates, dates, etc'!$B$8="Yes"</xm:f>
            <x14:dxf>
              <font>
                <color rgb="FFFF0000"/>
              </font>
            </x14:dxf>
          </x14:cfRule>
          <x14:cfRule type="expression" priority="4" id="{B5D5891A-2160-468F-A066-1CBDE30F4502}">
            <xm:f>'Budget Summary'!$L$104&lt;'Budget Summary'!$L$103</xm:f>
            <x14:dxf>
              <font>
                <color rgb="FFFF0000"/>
              </font>
            </x14:dxf>
          </x14:cfRule>
          <xm:sqref>A64:L64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  <pageSetUpPr fitToPage="1"/>
  </sheetPr>
  <dimension ref="A1:Z94"/>
  <sheetViews>
    <sheetView topLeftCell="A27" zoomScale="130" zoomScaleNormal="130" workbookViewId="0">
      <selection activeCell="A47" sqref="A47"/>
    </sheetView>
  </sheetViews>
  <sheetFormatPr defaultColWidth="9.140625" defaultRowHeight="11.25" x14ac:dyDescent="0.2"/>
  <cols>
    <col min="1" max="1" width="33.42578125" style="1" customWidth="1"/>
    <col min="2" max="11" width="8.42578125" style="1" customWidth="1"/>
    <col min="12" max="12" width="9.5703125" style="2" bestFit="1" customWidth="1"/>
    <col min="13" max="13" width="11" style="2" customWidth="1"/>
    <col min="14" max="14" width="29.140625" style="2" customWidth="1"/>
    <col min="15" max="16" width="9.85546875" style="2" customWidth="1"/>
    <col min="17" max="18" width="9.7109375" style="1" customWidth="1"/>
    <col min="19" max="16384" width="9.140625" style="1"/>
  </cols>
  <sheetData>
    <row r="1" spans="1:13" ht="12.75" x14ac:dyDescent="0.2">
      <c r="A1" s="67">
        <f>+'rates, dates, etc'!B4</f>
        <v>0</v>
      </c>
      <c r="D1" s="56"/>
    </row>
    <row r="2" spans="1:13" ht="12.75" x14ac:dyDescent="0.2">
      <c r="A2" s="67" t="str">
        <f>+'rates, dates, etc'!B3</f>
        <v>NSF</v>
      </c>
      <c r="M2" s="56"/>
    </row>
    <row r="3" spans="1:13" ht="12.75" customHeight="1" thickBot="1" x14ac:dyDescent="0.25"/>
    <row r="4" spans="1:13" x14ac:dyDescent="0.2">
      <c r="A4" s="68" t="str">
        <f ca="1">CONCATENATE("Cornell University - ",'rates, dates, etc'!A18)</f>
        <v>Cornell University - Co-PI Budget (4)</v>
      </c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242"/>
    </row>
    <row r="5" spans="1:13" ht="12" thickBot="1" x14ac:dyDescent="0.25">
      <c r="A5" s="68" t="str">
        <f>CONCATENATE("Co-PI: ",'rates, dates, etc'!B18)</f>
        <v>Co-PI: Co-PI</v>
      </c>
      <c r="B5" s="243">
        <f>+'rates, dates, etc'!B5</f>
        <v>45658</v>
      </c>
      <c r="C5" s="243">
        <f>+B6+1</f>
        <v>46023</v>
      </c>
      <c r="D5" s="243">
        <f t="shared" ref="D5:G5" si="0">+C6+1</f>
        <v>46388</v>
      </c>
      <c r="E5" s="243">
        <f t="shared" si="0"/>
        <v>46753</v>
      </c>
      <c r="F5" s="243">
        <f t="shared" si="0"/>
        <v>47119</v>
      </c>
      <c r="G5" s="243">
        <f t="shared" si="0"/>
        <v>47484</v>
      </c>
      <c r="H5" s="243">
        <f t="shared" ref="H5" si="1">+G6+1</f>
        <v>47849</v>
      </c>
      <c r="I5" s="243">
        <f t="shared" ref="I5" si="2">+H6+1</f>
        <v>48214</v>
      </c>
      <c r="J5" s="243">
        <f t="shared" ref="J5" si="3">+I6+1</f>
        <v>48580</v>
      </c>
      <c r="K5" s="243">
        <f t="shared" ref="K5" si="4">+J6+1</f>
        <v>48945</v>
      </c>
      <c r="L5" s="244"/>
    </row>
    <row r="6" spans="1:13" ht="12" thickBot="1" x14ac:dyDescent="0.25">
      <c r="A6" s="71" t="s">
        <v>4</v>
      </c>
      <c r="B6" s="245">
        <f>DATE(YEAR(B5), MONTH(B5) + 12, DAY(B5))-1</f>
        <v>46022</v>
      </c>
      <c r="C6" s="245">
        <f t="shared" ref="C6:G6" si="5">DATE(YEAR(C5), MONTH(C5) + 12, DAY(C5))-1</f>
        <v>46387</v>
      </c>
      <c r="D6" s="245">
        <f t="shared" si="5"/>
        <v>46752</v>
      </c>
      <c r="E6" s="245">
        <f t="shared" si="5"/>
        <v>47118</v>
      </c>
      <c r="F6" s="245">
        <f t="shared" si="5"/>
        <v>47483</v>
      </c>
      <c r="G6" s="245">
        <f t="shared" si="5"/>
        <v>47848</v>
      </c>
      <c r="H6" s="245">
        <f t="shared" ref="H6:K6" si="6">DATE(YEAR(H5), MONTH(H5) + 12, DAY(H5))-1</f>
        <v>48213</v>
      </c>
      <c r="I6" s="245">
        <f t="shared" si="6"/>
        <v>48579</v>
      </c>
      <c r="J6" s="245">
        <f t="shared" si="6"/>
        <v>48944</v>
      </c>
      <c r="K6" s="245">
        <f t="shared" si="6"/>
        <v>49309</v>
      </c>
      <c r="L6" s="262" t="s">
        <v>5</v>
      </c>
    </row>
    <row r="7" spans="1:13" x14ac:dyDescent="0.2">
      <c r="A7" s="74" t="s">
        <v>111</v>
      </c>
      <c r="L7" s="8" t="s">
        <v>6</v>
      </c>
    </row>
    <row r="8" spans="1:13" x14ac:dyDescent="0.2">
      <c r="A8" s="3" t="str">
        <f>+'rates, dates, etc'!A372</f>
        <v>Co-PI</v>
      </c>
      <c r="B8" s="17">
        <f>HLOOKUP(B$4,'rates, dates, etc'!B371:I377,7,FALSE)</f>
        <v>0</v>
      </c>
      <c r="C8" s="17">
        <f>HLOOKUP(C$4,'rates, dates, etc'!C371:O377,7,FALSE)</f>
        <v>0</v>
      </c>
      <c r="D8" s="17">
        <f>HLOOKUP(D$4,'rates, dates, etc'!D371:P377,7,FALSE)</f>
        <v>0</v>
      </c>
      <c r="E8" s="17">
        <f>HLOOKUP(E$4,'rates, dates, etc'!E371:Q377,7,FALSE)</f>
        <v>0</v>
      </c>
      <c r="F8" s="17">
        <f>HLOOKUP(F$4,'rates, dates, etc'!F371:R377,7,FALSE)</f>
        <v>0</v>
      </c>
      <c r="G8" s="17">
        <f>HLOOKUP(G$4,'rates, dates, etc'!G371:S377,7,FALSE)</f>
        <v>0</v>
      </c>
      <c r="H8" s="17">
        <f>HLOOKUP(H$4,'rates, dates, etc'!H371:T377,7,FALSE)</f>
        <v>0</v>
      </c>
      <c r="I8" s="17">
        <f>HLOOKUP(I$4,'rates, dates, etc'!I371:U377,7,FALSE)</f>
        <v>0</v>
      </c>
      <c r="J8" s="17">
        <f>HLOOKUP(J$4,'rates, dates, etc'!J371:V377,7,FALSE)</f>
        <v>0</v>
      </c>
      <c r="K8" s="17">
        <f>HLOOKUP(K$4,'rates, dates, etc'!K371:W377,7,FALSE)</f>
        <v>0</v>
      </c>
      <c r="L8" s="83">
        <f>SUM(B8:K8)</f>
        <v>0</v>
      </c>
    </row>
    <row r="9" spans="1:13" x14ac:dyDescent="0.2">
      <c r="A9" s="3" t="str">
        <f>+'rates, dates, etc'!A380</f>
        <v>Co-PI</v>
      </c>
      <c r="B9" s="17">
        <f>HLOOKUP(B$4,'rates, dates, etc'!B379:I385,7,FALSE)</f>
        <v>0</v>
      </c>
      <c r="C9" s="17">
        <f>HLOOKUP(C$4,'rates, dates, etc'!C379:O385,7,FALSE)</f>
        <v>0</v>
      </c>
      <c r="D9" s="17">
        <f>HLOOKUP(D$4,'rates, dates, etc'!D379:P385,7,FALSE)</f>
        <v>0</v>
      </c>
      <c r="E9" s="17">
        <f>HLOOKUP(E$4,'rates, dates, etc'!E379:Q385,7,FALSE)</f>
        <v>0</v>
      </c>
      <c r="F9" s="17">
        <f>HLOOKUP(F$4,'rates, dates, etc'!F379:R385,7,FALSE)</f>
        <v>0</v>
      </c>
      <c r="G9" s="17">
        <f>HLOOKUP(G$4,'rates, dates, etc'!G379:S385,7,FALSE)</f>
        <v>0</v>
      </c>
      <c r="H9" s="17">
        <f>HLOOKUP(H$4,'rates, dates, etc'!H379:T385,7,FALSE)</f>
        <v>0</v>
      </c>
      <c r="I9" s="17">
        <f>HLOOKUP(I$4,'rates, dates, etc'!I379:U385,7,FALSE)</f>
        <v>0</v>
      </c>
      <c r="J9" s="17">
        <f>HLOOKUP(J$4,'rates, dates, etc'!J379:V385,7,FALSE)</f>
        <v>0</v>
      </c>
      <c r="K9" s="17">
        <f>HLOOKUP(K$4,'rates, dates, etc'!K379:W385,7,FALSE)</f>
        <v>0</v>
      </c>
      <c r="L9" s="83">
        <f t="shared" ref="L9:L10" si="7">SUM(B9:K9)</f>
        <v>0</v>
      </c>
    </row>
    <row r="10" spans="1:13" x14ac:dyDescent="0.2">
      <c r="A10" s="3" t="str">
        <f>+'rates, dates, etc'!A388</f>
        <v>Co-PI</v>
      </c>
      <c r="B10" s="17">
        <f>HLOOKUP(B$4,'rates, dates, etc'!B387:I393,7,FALSE)</f>
        <v>0</v>
      </c>
      <c r="C10" s="17">
        <f>HLOOKUP(C$4,'rates, dates, etc'!C387:O393,7,FALSE)</f>
        <v>0</v>
      </c>
      <c r="D10" s="17">
        <f>HLOOKUP(D$4,'rates, dates, etc'!D387:P393,7,FALSE)</f>
        <v>0</v>
      </c>
      <c r="E10" s="17">
        <f>HLOOKUP(E$4,'rates, dates, etc'!E387:Q393,7,FALSE)</f>
        <v>0</v>
      </c>
      <c r="F10" s="17">
        <f>HLOOKUP(F$4,'rates, dates, etc'!F387:R393,7,FALSE)</f>
        <v>0</v>
      </c>
      <c r="G10" s="17">
        <f>HLOOKUP(G$4,'rates, dates, etc'!G387:S393,7,FALSE)</f>
        <v>0</v>
      </c>
      <c r="H10" s="17">
        <f>HLOOKUP(H$4,'rates, dates, etc'!H387:T393,7,FALSE)</f>
        <v>0</v>
      </c>
      <c r="I10" s="17">
        <f>HLOOKUP(I$4,'rates, dates, etc'!I387:U393,7,FALSE)</f>
        <v>0</v>
      </c>
      <c r="J10" s="17">
        <f>HLOOKUP(J$4,'rates, dates, etc'!J387:V393,7,FALSE)</f>
        <v>0</v>
      </c>
      <c r="K10" s="17">
        <f>HLOOKUP(K$4,'rates, dates, etc'!K387:W393,7,FALSE)</f>
        <v>0</v>
      </c>
      <c r="L10" s="83">
        <f t="shared" si="7"/>
        <v>0</v>
      </c>
    </row>
    <row r="11" spans="1:13" ht="12" thickBot="1" x14ac:dyDescent="0.25">
      <c r="A11" s="76" t="str">
        <f>CONCATENATE("Total ",A7)</f>
        <v>Total Senior Personnel Salary</v>
      </c>
      <c r="B11" s="6">
        <f>SUM(B7:B10)</f>
        <v>0</v>
      </c>
      <c r="C11" s="6">
        <f t="shared" ref="C11:E11" si="8">SUM(C7:C10)</f>
        <v>0</v>
      </c>
      <c r="D11" s="6">
        <f t="shared" si="8"/>
        <v>0</v>
      </c>
      <c r="E11" s="6">
        <f t="shared" si="8"/>
        <v>0</v>
      </c>
      <c r="F11" s="6">
        <f t="shared" ref="F11:K11" si="9">SUM(F7:F10)</f>
        <v>0</v>
      </c>
      <c r="G11" s="6">
        <f t="shared" si="9"/>
        <v>0</v>
      </c>
      <c r="H11" s="6">
        <f t="shared" si="9"/>
        <v>0</v>
      </c>
      <c r="I11" s="6">
        <f t="shared" si="9"/>
        <v>0</v>
      </c>
      <c r="J11" s="6">
        <f t="shared" si="9"/>
        <v>0</v>
      </c>
      <c r="K11" s="6">
        <f t="shared" si="9"/>
        <v>0</v>
      </c>
      <c r="L11" s="86">
        <f>SUM(L7:L10)</f>
        <v>0</v>
      </c>
    </row>
    <row r="12" spans="1:13" x14ac:dyDescent="0.2">
      <c r="A12" s="75" t="s">
        <v>112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83"/>
    </row>
    <row r="13" spans="1:13" x14ac:dyDescent="0.2">
      <c r="A13" s="3" t="str">
        <f>+'rates, dates, etc'!A396</f>
        <v>Post Doctoral Scholar(s)</v>
      </c>
      <c r="B13" s="5">
        <f>HLOOKUP(B$4,'rates, dates, etc'!B395:I400,6,FALSE)</f>
        <v>0</v>
      </c>
      <c r="C13" s="5">
        <f>HLOOKUP(C$4,'rates, dates, etc'!C395:O400,6,FALSE)</f>
        <v>0</v>
      </c>
      <c r="D13" s="5">
        <f>HLOOKUP(D$4,'rates, dates, etc'!D395:P400,6,FALSE)</f>
        <v>0</v>
      </c>
      <c r="E13" s="5">
        <f>HLOOKUP(E$4,'rates, dates, etc'!E395:Q400,6,FALSE)</f>
        <v>0</v>
      </c>
      <c r="F13" s="5">
        <f>HLOOKUP(F$4,'rates, dates, etc'!F395:R400,6,FALSE)</f>
        <v>0</v>
      </c>
      <c r="G13" s="5">
        <f>HLOOKUP(G$4,'rates, dates, etc'!G395:S400,6,FALSE)</f>
        <v>0</v>
      </c>
      <c r="H13" s="5">
        <f>HLOOKUP(H$4,'rates, dates, etc'!H395:T400,6,FALSE)</f>
        <v>0</v>
      </c>
      <c r="I13" s="5">
        <f>HLOOKUP(I$4,'rates, dates, etc'!I395:U400,6,FALSE)</f>
        <v>0</v>
      </c>
      <c r="J13" s="5">
        <f>HLOOKUP(J$4,'rates, dates, etc'!J395:V400,6,FALSE)</f>
        <v>0</v>
      </c>
      <c r="K13" s="5">
        <f>HLOOKUP(K$4,'rates, dates, etc'!K395:W400,6,FALSE)</f>
        <v>0</v>
      </c>
      <c r="L13" s="83">
        <f>SUM(B13:K13)</f>
        <v>0</v>
      </c>
    </row>
    <row r="14" spans="1:13" x14ac:dyDescent="0.2">
      <c r="A14" s="3" t="str">
        <f>+'rates, dates, etc'!A403</f>
        <v>Other Professional(s) (Technicians, etc)</v>
      </c>
      <c r="B14" s="5">
        <f>HLOOKUP(B$4,'rates, dates, etc'!B402:I407,6,FALSE)</f>
        <v>0</v>
      </c>
      <c r="C14" s="5">
        <f>HLOOKUP(C$4,'rates, dates, etc'!C402:O407,6,FALSE)</f>
        <v>0</v>
      </c>
      <c r="D14" s="5">
        <f>HLOOKUP(D$4,'rates, dates, etc'!D402:P407,6,FALSE)</f>
        <v>0</v>
      </c>
      <c r="E14" s="5">
        <f>HLOOKUP(E$4,'rates, dates, etc'!E402:Q407,6,FALSE)</f>
        <v>0</v>
      </c>
      <c r="F14" s="5">
        <f>HLOOKUP(F$4,'rates, dates, etc'!F402:R407,6,FALSE)</f>
        <v>0</v>
      </c>
      <c r="G14" s="5">
        <f>HLOOKUP(G$4,'rates, dates, etc'!G402:S407,6,FALSE)</f>
        <v>0</v>
      </c>
      <c r="H14" s="5">
        <f>HLOOKUP(H$4,'rates, dates, etc'!H402:T407,6,FALSE)</f>
        <v>0</v>
      </c>
      <c r="I14" s="5">
        <f>HLOOKUP(I$4,'rates, dates, etc'!I402:U407,6,FALSE)</f>
        <v>0</v>
      </c>
      <c r="J14" s="5">
        <f>HLOOKUP(J$4,'rates, dates, etc'!J402:V407,6,FALSE)</f>
        <v>0</v>
      </c>
      <c r="K14" s="5">
        <f>HLOOKUP(K$4,'rates, dates, etc'!K402:W407,6,FALSE)</f>
        <v>0</v>
      </c>
      <c r="L14" s="83">
        <f t="shared" ref="L14:L18" si="10">SUM(B14:K14)</f>
        <v>0</v>
      </c>
    </row>
    <row r="15" spans="1:13" x14ac:dyDescent="0.2">
      <c r="A15" s="3" t="str">
        <f>+'rates, dates, etc'!A409</f>
        <v>Graduate Student(s)</v>
      </c>
      <c r="B15" s="5">
        <f>O68+O69</f>
        <v>0</v>
      </c>
      <c r="C15" s="5">
        <f t="shared" ref="C15:E15" si="11">P68+P69</f>
        <v>0</v>
      </c>
      <c r="D15" s="5">
        <f t="shared" si="11"/>
        <v>0</v>
      </c>
      <c r="E15" s="5">
        <f t="shared" si="11"/>
        <v>0</v>
      </c>
      <c r="F15" s="5">
        <f t="shared" ref="F15" si="12">S68+S69</f>
        <v>0</v>
      </c>
      <c r="G15" s="5">
        <f t="shared" ref="G15" si="13">T68+T69</f>
        <v>0</v>
      </c>
      <c r="H15" s="5">
        <f t="shared" ref="H15" si="14">U68+U69</f>
        <v>0</v>
      </c>
      <c r="I15" s="5">
        <f t="shared" ref="I15" si="15">V68+V69</f>
        <v>0</v>
      </c>
      <c r="J15" s="5">
        <f t="shared" ref="J15" si="16">W68+W69</f>
        <v>0</v>
      </c>
      <c r="K15" s="5">
        <f t="shared" ref="K15" si="17">X68+X69</f>
        <v>0</v>
      </c>
      <c r="L15" s="83">
        <f t="shared" si="10"/>
        <v>0</v>
      </c>
    </row>
    <row r="16" spans="1:13" x14ac:dyDescent="0.2">
      <c r="A16" s="3" t="str">
        <f>+'rates, dates, etc'!A414</f>
        <v>Undergraduate Student(s)</v>
      </c>
      <c r="B16" s="5">
        <f>+'rates, dates, etc'!B422</f>
        <v>0</v>
      </c>
      <c r="C16" s="5">
        <f>+'rates, dates, etc'!C422</f>
        <v>0</v>
      </c>
      <c r="D16" s="5">
        <f>+'rates, dates, etc'!D422</f>
        <v>0</v>
      </c>
      <c r="E16" s="5">
        <f>+'rates, dates, etc'!E422</f>
        <v>0</v>
      </c>
      <c r="F16" s="5">
        <f>+'rates, dates, etc'!F422</f>
        <v>0</v>
      </c>
      <c r="G16" s="5">
        <f>+'rates, dates, etc'!G422</f>
        <v>0</v>
      </c>
      <c r="H16" s="5">
        <f>+'rates, dates, etc'!H422</f>
        <v>0</v>
      </c>
      <c r="I16" s="5">
        <f>+'rates, dates, etc'!I422</f>
        <v>0</v>
      </c>
      <c r="J16" s="5">
        <f>+'rates, dates, etc'!J422</f>
        <v>0</v>
      </c>
      <c r="K16" s="5">
        <f>+'rates, dates, etc'!K422</f>
        <v>0</v>
      </c>
      <c r="L16" s="83">
        <f t="shared" si="10"/>
        <v>0</v>
      </c>
    </row>
    <row r="17" spans="1:12" x14ac:dyDescent="0.2">
      <c r="A17" s="3" t="str">
        <f>+'rates, dates, etc'!A425</f>
        <v>Other</v>
      </c>
      <c r="B17" s="5">
        <f>HLOOKUP(B$4,'rates, dates, etc'!B424:I429,6,FALSE)</f>
        <v>0</v>
      </c>
      <c r="C17" s="5">
        <f>HLOOKUP(C$4,'rates, dates, etc'!C424:O429,6,FALSE)</f>
        <v>0</v>
      </c>
      <c r="D17" s="5">
        <f>HLOOKUP(D$4,'rates, dates, etc'!D424:P429,6,FALSE)</f>
        <v>0</v>
      </c>
      <c r="E17" s="5">
        <f>HLOOKUP(E$4,'rates, dates, etc'!E424:Q429,6,FALSE)</f>
        <v>0</v>
      </c>
      <c r="F17" s="5">
        <f>HLOOKUP(F$4,'rates, dates, etc'!F424:R429,6,FALSE)</f>
        <v>0</v>
      </c>
      <c r="G17" s="5">
        <f>HLOOKUP(G$4,'rates, dates, etc'!G424:S429,6,FALSE)</f>
        <v>0</v>
      </c>
      <c r="H17" s="5">
        <f>HLOOKUP(H$4,'rates, dates, etc'!H424:T429,6,FALSE)</f>
        <v>0</v>
      </c>
      <c r="I17" s="5">
        <f>HLOOKUP(I$4,'rates, dates, etc'!I424:U429,6,FALSE)</f>
        <v>0</v>
      </c>
      <c r="J17" s="5">
        <f>HLOOKUP(J$4,'rates, dates, etc'!J424:V429,6,FALSE)</f>
        <v>0</v>
      </c>
      <c r="K17" s="5">
        <f>HLOOKUP(K$4,'rates, dates, etc'!K424:W429,6,FALSE)</f>
        <v>0</v>
      </c>
      <c r="L17" s="83">
        <f t="shared" si="10"/>
        <v>0</v>
      </c>
    </row>
    <row r="18" spans="1:12" x14ac:dyDescent="0.2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83">
        <f t="shared" si="10"/>
        <v>0</v>
      </c>
    </row>
    <row r="19" spans="1:12" ht="12" thickBot="1" x14ac:dyDescent="0.25">
      <c r="A19" s="76" t="str">
        <f>CONCATENATE("Total ",A12)</f>
        <v>Total Other Personnel Salary</v>
      </c>
      <c r="B19" s="6">
        <f>SUM(B12:B18)</f>
        <v>0</v>
      </c>
      <c r="C19" s="6">
        <f>SUM(C12:C18)</f>
        <v>0</v>
      </c>
      <c r="D19" s="6">
        <f t="shared" ref="D19" si="18">SUM(D12:D18)</f>
        <v>0</v>
      </c>
      <c r="E19" s="6">
        <f>SUM(E12:E18)</f>
        <v>0</v>
      </c>
      <c r="F19" s="6">
        <f t="shared" ref="F19:K19" si="19">SUM(F12:F18)</f>
        <v>0</v>
      </c>
      <c r="G19" s="6">
        <f t="shared" si="19"/>
        <v>0</v>
      </c>
      <c r="H19" s="6">
        <f t="shared" si="19"/>
        <v>0</v>
      </c>
      <c r="I19" s="6">
        <f t="shared" si="19"/>
        <v>0</v>
      </c>
      <c r="J19" s="6">
        <f t="shared" si="19"/>
        <v>0</v>
      </c>
      <c r="K19" s="6">
        <f t="shared" si="19"/>
        <v>0</v>
      </c>
      <c r="L19" s="86">
        <f>SUM(L12:L18)</f>
        <v>0</v>
      </c>
    </row>
    <row r="20" spans="1:12" x14ac:dyDescent="0.2">
      <c r="A20" s="77" t="s">
        <v>7</v>
      </c>
      <c r="B20" s="17" t="s">
        <v>6</v>
      </c>
      <c r="C20" s="17"/>
      <c r="D20" s="17"/>
      <c r="E20" s="17"/>
      <c r="F20" s="17"/>
      <c r="G20" s="17"/>
      <c r="H20" s="17"/>
      <c r="I20" s="17"/>
      <c r="J20" s="17"/>
      <c r="K20" s="17"/>
      <c r="L20" s="83"/>
    </row>
    <row r="21" spans="1:12" x14ac:dyDescent="0.2">
      <c r="A21" s="3" t="str">
        <f>+A8</f>
        <v>Co-PI</v>
      </c>
      <c r="B21" s="17">
        <f>IF('rates, dates, etc'!$O373=9,ROUND((+B8*O$78),0),ROUND((+B8*O$81*$P$89)+(B8*P$81*$P$90),0))</f>
        <v>0</v>
      </c>
      <c r="C21" s="17">
        <f>IF('rates, dates, etc'!$O373=9,ROUND((+C8*P$78),0),ROUND((+C8*P$81*$P$89)+(C8*Q$81*$P$90),0))</f>
        <v>0</v>
      </c>
      <c r="D21" s="17">
        <f>IF('rates, dates, etc'!$O373=9,ROUND((+D8*Q$78),0),ROUND((+D8*Q$81*$P$89)+(D8*R$81*$P$90),0))</f>
        <v>0</v>
      </c>
      <c r="E21" s="17">
        <f>IF('rates, dates, etc'!$O373=9,ROUND((+E8*R$78),0),ROUND((+E8*R$81*$P$89)+(E8*S$81*$P$90),0))</f>
        <v>0</v>
      </c>
      <c r="F21" s="17">
        <f>IF('rates, dates, etc'!$O373=9,ROUND((+F8*S$78),0),ROUND((+F8*S$81*$P$89)+(F8*T$81*$P$90),0))</f>
        <v>0</v>
      </c>
      <c r="G21" s="17">
        <f>IF('rates, dates, etc'!$O373=9,ROUND((+G8*T$78),0),ROUND((+G8*T$81*$P$89)+(G8*U$81*$P$90),0))</f>
        <v>0</v>
      </c>
      <c r="H21" s="17">
        <f>IF('rates, dates, etc'!$O373=9,ROUND((+H8*U$78),0),ROUND((+H8*U$81*$P$89)+(H8*V$81*$P$90),0))</f>
        <v>0</v>
      </c>
      <c r="I21" s="17">
        <f>IF('rates, dates, etc'!$O373=9,ROUND((+I8*V$78),0),ROUND((+I8*V$81*$P$89)+(I8*W$81*$P$90),0))</f>
        <v>0</v>
      </c>
      <c r="J21" s="17">
        <f>IF('rates, dates, etc'!$O373=9,ROUND((+J8*W$78),0),ROUND((+J8*W$81*$P$89)+(J8*X$81*$P$90),0))</f>
        <v>0</v>
      </c>
      <c r="K21" s="17">
        <f>IF('rates, dates, etc'!$O373=9,ROUND((+K8*X$78),0),ROUND((+K8*X$81*$P$89)+(K8*Y$81*$P$90),0))</f>
        <v>0</v>
      </c>
      <c r="L21" s="83">
        <f>SUM(B21:K21)</f>
        <v>0</v>
      </c>
    </row>
    <row r="22" spans="1:12" x14ac:dyDescent="0.2">
      <c r="A22" s="3" t="str">
        <f>+A9</f>
        <v>Co-PI</v>
      </c>
      <c r="B22" s="17">
        <f>IF('rates, dates, etc'!$O381=9,ROUND((+B9*O$78),0),ROUND((+B9*O$81*$P$89)+(B9*P$81*$P$90),0))</f>
        <v>0</v>
      </c>
      <c r="C22" s="17">
        <f>IF('rates, dates, etc'!$O381=9,ROUND((+C9*P$78),0),ROUND((+C9*P$81*$P$89)+(C9*Q$81*$P$90),0))</f>
        <v>0</v>
      </c>
      <c r="D22" s="17">
        <f>IF('rates, dates, etc'!$O381=9,ROUND((+D9*Q$78),0),ROUND((+D9*Q$81*$P$89)+(D9*R$81*$P$90),0))</f>
        <v>0</v>
      </c>
      <c r="E22" s="17">
        <f>IF('rates, dates, etc'!$O381=9,ROUND((+E9*R$78),0),ROUND((+E9*R$81*$P$89)+(E9*S$81*$P$90),0))</f>
        <v>0</v>
      </c>
      <c r="F22" s="17">
        <f>IF('rates, dates, etc'!$O381=9,ROUND((+F9*S$78),0),ROUND((+F9*S$81*$P$89)+(F9*T$81*$P$90),0))</f>
        <v>0</v>
      </c>
      <c r="G22" s="17">
        <f>IF('rates, dates, etc'!$O381=9,ROUND((+G9*T$78),0),ROUND((+G9*T$81*$P$89)+(G9*U$81*$P$90),0))</f>
        <v>0</v>
      </c>
      <c r="H22" s="17">
        <f>IF('rates, dates, etc'!$O381=9,ROUND((+H9*U$78),0),ROUND((+H9*U$81*$P$89)+(H9*V$81*$P$90),0))</f>
        <v>0</v>
      </c>
      <c r="I22" s="17">
        <f>IF('rates, dates, etc'!$O381=9,ROUND((+I9*V$78),0),ROUND((+I9*V$81*$P$89)+(I9*W$81*$P$90),0))</f>
        <v>0</v>
      </c>
      <c r="J22" s="17">
        <f>IF('rates, dates, etc'!$O381=9,ROUND((+J9*W$78),0),ROUND((+J9*W$81*$P$89)+(J9*X$81*$P$90),0))</f>
        <v>0</v>
      </c>
      <c r="K22" s="17">
        <f>IF('rates, dates, etc'!$O381=9,ROUND((+K9*X$78),0),ROUND((+K9*X$81*$P$89)+(K9*Y$81*$P$90),0))</f>
        <v>0</v>
      </c>
      <c r="L22" s="83">
        <f t="shared" ref="L22:L26" si="20">SUM(B22:K22)</f>
        <v>0</v>
      </c>
    </row>
    <row r="23" spans="1:12" x14ac:dyDescent="0.2">
      <c r="A23" s="3" t="str">
        <f>+A10</f>
        <v>Co-PI</v>
      </c>
      <c r="B23" s="17">
        <f>IF('rates, dates, etc'!$O389=9,ROUND((+B10*O$78),0),ROUND((+B10*O$81*$P$89)+(B10*P$81*$P$90),0))</f>
        <v>0</v>
      </c>
      <c r="C23" s="17">
        <f>IF('rates, dates, etc'!$O389=9,ROUND((+C10*P$78),0),ROUND((+C10*P$81*$P$89)+(C10*Q$81*$P$90),0))</f>
        <v>0</v>
      </c>
      <c r="D23" s="17">
        <f>IF('rates, dates, etc'!$O389=9,ROUND((+D10*Q$78),0),ROUND((+D10*Q$81*$P$89)+(D10*R$81*$P$90),0))</f>
        <v>0</v>
      </c>
      <c r="E23" s="17">
        <f>IF('rates, dates, etc'!$O389=9,ROUND((+E10*R$78),0),ROUND((+E10*R$81*$P$89)+(E10*S$81*$P$90),0))</f>
        <v>0</v>
      </c>
      <c r="F23" s="17">
        <f>IF('rates, dates, etc'!$O389=9,ROUND((+F10*S$78),0),ROUND((+F10*S$81*$P$89)+(F10*T$81*$P$90),0))</f>
        <v>0</v>
      </c>
      <c r="G23" s="17">
        <f>IF('rates, dates, etc'!$O389=9,ROUND((+G10*T$78),0),ROUND((+G10*T$81*$P$89)+(G10*U$81*$P$90),0))</f>
        <v>0</v>
      </c>
      <c r="H23" s="17">
        <f>IF('rates, dates, etc'!$O389=9,ROUND((+H10*U$78),0),ROUND((+H10*U$81*$P$89)+(H10*V$81*$P$90),0))</f>
        <v>0</v>
      </c>
      <c r="I23" s="17">
        <f>IF('rates, dates, etc'!$O389=9,ROUND((+I10*V$78),0),ROUND((+I10*V$81*$P$89)+(I10*W$81*$P$90),0))</f>
        <v>0</v>
      </c>
      <c r="J23" s="17">
        <f>IF('rates, dates, etc'!$O389=9,ROUND((+J10*W$78),0),ROUND((+J10*W$81*$P$89)+(J10*X$81*$P$90),0))</f>
        <v>0</v>
      </c>
      <c r="K23" s="17">
        <f>IF('rates, dates, etc'!$O389=9,ROUND((+K10*X$78),0),ROUND((+K10*X$81*$P$89)+(K10*Y$81*$P$90),0))</f>
        <v>0</v>
      </c>
      <c r="L23" s="83">
        <f t="shared" si="20"/>
        <v>0</v>
      </c>
    </row>
    <row r="24" spans="1:12" x14ac:dyDescent="0.2">
      <c r="A24" s="3" t="str">
        <f>+A13</f>
        <v>Post Doctoral Scholar(s)</v>
      </c>
      <c r="B24" s="17">
        <f t="shared" ref="B24:E25" si="21">ROUND((+B13*O82*$P$89)+(B13*P82*$P$90),0)</f>
        <v>0</v>
      </c>
      <c r="C24" s="17">
        <f t="shared" si="21"/>
        <v>0</v>
      </c>
      <c r="D24" s="17">
        <f t="shared" si="21"/>
        <v>0</v>
      </c>
      <c r="E24" s="17">
        <f t="shared" si="21"/>
        <v>0</v>
      </c>
      <c r="F24" s="17">
        <f t="shared" ref="F24:K24" si="22">ROUND((+F13*S82*$P$89)+(F13*T82*$P$90),0)</f>
        <v>0</v>
      </c>
      <c r="G24" s="17">
        <f t="shared" si="22"/>
        <v>0</v>
      </c>
      <c r="H24" s="17">
        <f t="shared" si="22"/>
        <v>0</v>
      </c>
      <c r="I24" s="17">
        <f t="shared" si="22"/>
        <v>0</v>
      </c>
      <c r="J24" s="17">
        <f t="shared" si="22"/>
        <v>0</v>
      </c>
      <c r="K24" s="17">
        <f t="shared" si="22"/>
        <v>0</v>
      </c>
      <c r="L24" s="83">
        <f t="shared" si="20"/>
        <v>0</v>
      </c>
    </row>
    <row r="25" spans="1:12" x14ac:dyDescent="0.2">
      <c r="A25" s="3" t="str">
        <f>+A14</f>
        <v>Other Professional(s) (Technicians, etc)</v>
      </c>
      <c r="B25" s="17">
        <f t="shared" si="21"/>
        <v>0</v>
      </c>
      <c r="C25" s="17">
        <f t="shared" si="21"/>
        <v>0</v>
      </c>
      <c r="D25" s="17">
        <f t="shared" si="21"/>
        <v>0</v>
      </c>
      <c r="E25" s="17">
        <f t="shared" si="21"/>
        <v>0</v>
      </c>
      <c r="F25" s="17">
        <f t="shared" ref="F25:K25" si="23">ROUND((+F14*S83*$P$89)+(F14*T83*$P$90),0)</f>
        <v>0</v>
      </c>
      <c r="G25" s="17">
        <f t="shared" si="23"/>
        <v>0</v>
      </c>
      <c r="H25" s="17">
        <f t="shared" si="23"/>
        <v>0</v>
      </c>
      <c r="I25" s="17">
        <f t="shared" si="23"/>
        <v>0</v>
      </c>
      <c r="J25" s="17">
        <f t="shared" si="23"/>
        <v>0</v>
      </c>
      <c r="K25" s="17">
        <f t="shared" si="23"/>
        <v>0</v>
      </c>
      <c r="L25" s="83">
        <f t="shared" si="20"/>
        <v>0</v>
      </c>
    </row>
    <row r="26" spans="1:12" x14ac:dyDescent="0.2">
      <c r="A26" s="3" t="str">
        <f>+A17</f>
        <v>Other</v>
      </c>
      <c r="B26" s="17">
        <f>IF('rates, dates, etc'!$O426=9,ROUND((+B17*O$78),0),ROUND((+B17*O$83*$P$89)+(B17*P$83*$P$90),0))</f>
        <v>0</v>
      </c>
      <c r="C26" s="17">
        <f>IF('rates, dates, etc'!$O426=9,ROUND((+C17*P$78),0),ROUND((+C17*P$83*$P$89)+(C17*Q$83*$P$90),0))</f>
        <v>0</v>
      </c>
      <c r="D26" s="17">
        <f>IF('rates, dates, etc'!$O426=9,ROUND((+D17*Q$78),0),ROUND((+D17*Q$83*$P$89)+(D17*R$83*$P$90),0))</f>
        <v>0</v>
      </c>
      <c r="E26" s="17">
        <f>IF('rates, dates, etc'!$O426=9,ROUND((+E17*R$78),0),ROUND((+E17*R$83*$P$89)+(E17*S$83*$P$90),0))</f>
        <v>0</v>
      </c>
      <c r="F26" s="17">
        <f>IF('rates, dates, etc'!$O426=9,ROUND((+F17*S$78),0),ROUND((+F17*S$83*$P$89)+(F17*T$83*$P$90),0))</f>
        <v>0</v>
      </c>
      <c r="G26" s="17">
        <f>IF('rates, dates, etc'!$O426=9,ROUND((+G17*T$78),0),ROUND((+G17*T$83*$P$89)+(G17*U$83*$P$90),0))</f>
        <v>0</v>
      </c>
      <c r="H26" s="17">
        <f>IF('rates, dates, etc'!$O426=9,ROUND((+H17*U$78),0),ROUND((+H17*U$83*$P$89)+(H17*V$83*$P$90),0))</f>
        <v>0</v>
      </c>
      <c r="I26" s="17">
        <f>IF('rates, dates, etc'!$O426=9,ROUND((+I17*V$78),0),ROUND((+I17*V$83*$P$89)+(I17*W$83*$P$90),0))</f>
        <v>0</v>
      </c>
      <c r="J26" s="17">
        <f>IF('rates, dates, etc'!$O426=9,ROUND((+J17*W$78),0),ROUND((+J17*W$83*$P$89)+(J17*X$83*$P$90),0))</f>
        <v>0</v>
      </c>
      <c r="K26" s="17">
        <f>IF('rates, dates, etc'!$O426=9,ROUND((+K17*X$78),0),ROUND((+K17*X$83*$P$89)+(K17*Y$83*$P$90),0))</f>
        <v>0</v>
      </c>
      <c r="L26" s="83">
        <f t="shared" si="20"/>
        <v>0</v>
      </c>
    </row>
    <row r="27" spans="1:12" ht="12" thickBot="1" x14ac:dyDescent="0.25">
      <c r="A27" s="76" t="str">
        <f>CONCATENATE("Total ",A20)</f>
        <v>Total Fringe Benefits</v>
      </c>
      <c r="B27" s="6">
        <f>SUM(B20:B26)</f>
        <v>0</v>
      </c>
      <c r="C27" s="6">
        <f>SUM(C20:C26)</f>
        <v>0</v>
      </c>
      <c r="D27" s="6">
        <f>SUM(D20:D26)</f>
        <v>0</v>
      </c>
      <c r="E27" s="6">
        <f t="shared" ref="E27" si="24">SUM(E20:E26)</f>
        <v>0</v>
      </c>
      <c r="F27" s="6">
        <f t="shared" ref="F27:K27" si="25">SUM(F20:F26)</f>
        <v>0</v>
      </c>
      <c r="G27" s="6">
        <f t="shared" si="25"/>
        <v>0</v>
      </c>
      <c r="H27" s="6">
        <f t="shared" si="25"/>
        <v>0</v>
      </c>
      <c r="I27" s="6">
        <f t="shared" si="25"/>
        <v>0</v>
      </c>
      <c r="J27" s="6">
        <f t="shared" si="25"/>
        <v>0</v>
      </c>
      <c r="K27" s="6">
        <f t="shared" si="25"/>
        <v>0</v>
      </c>
      <c r="L27" s="86">
        <f>SUM(L20:L26)</f>
        <v>0</v>
      </c>
    </row>
    <row r="28" spans="1:12" ht="12" thickBot="1" x14ac:dyDescent="0.25">
      <c r="A28" s="130" t="s">
        <v>108</v>
      </c>
      <c r="B28" s="131">
        <f>+B11+B19+B27</f>
        <v>0</v>
      </c>
      <c r="C28" s="131">
        <f t="shared" ref="C28:E28" si="26">+C11+C19+C27</f>
        <v>0</v>
      </c>
      <c r="D28" s="131">
        <f t="shared" si="26"/>
        <v>0</v>
      </c>
      <c r="E28" s="131">
        <f t="shared" si="26"/>
        <v>0</v>
      </c>
      <c r="F28" s="131">
        <f t="shared" ref="F28:K28" si="27">+F11+F19+F27</f>
        <v>0</v>
      </c>
      <c r="G28" s="131">
        <f t="shared" si="27"/>
        <v>0</v>
      </c>
      <c r="H28" s="131">
        <f t="shared" si="27"/>
        <v>0</v>
      </c>
      <c r="I28" s="131">
        <f t="shared" si="27"/>
        <v>0</v>
      </c>
      <c r="J28" s="131">
        <f t="shared" si="27"/>
        <v>0</v>
      </c>
      <c r="K28" s="131">
        <f t="shared" si="27"/>
        <v>0</v>
      </c>
      <c r="L28" s="132">
        <f>SUM(B28:K28)</f>
        <v>0</v>
      </c>
    </row>
    <row r="29" spans="1:12" x14ac:dyDescent="0.2">
      <c r="A29" s="77" t="s">
        <v>25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83"/>
    </row>
    <row r="30" spans="1:12" x14ac:dyDescent="0.2">
      <c r="A30" s="3" t="s">
        <v>62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83">
        <f>SUM(B30:K30)</f>
        <v>0</v>
      </c>
    </row>
    <row r="31" spans="1:12" x14ac:dyDescent="0.2">
      <c r="A31" s="3"/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83">
        <f>SUM(B31:K31)</f>
        <v>0</v>
      </c>
    </row>
    <row r="32" spans="1:12" ht="12" thickBot="1" x14ac:dyDescent="0.25">
      <c r="A32" s="76" t="str">
        <f>CONCATENATE("Total ",A29)</f>
        <v>Total Equipment</v>
      </c>
      <c r="B32" s="6">
        <f>SUM(B29:B31)</f>
        <v>0</v>
      </c>
      <c r="C32" s="6">
        <f>SUM(C29:C31)</f>
        <v>0</v>
      </c>
      <c r="D32" s="6">
        <f t="shared" ref="D32:E32" si="28">SUM(D29:D31)</f>
        <v>0</v>
      </c>
      <c r="E32" s="6">
        <f t="shared" si="28"/>
        <v>0</v>
      </c>
      <c r="F32" s="6">
        <f t="shared" ref="F32:K32" si="29">SUM(F29:F31)</f>
        <v>0</v>
      </c>
      <c r="G32" s="6">
        <f t="shared" si="29"/>
        <v>0</v>
      </c>
      <c r="H32" s="6">
        <f t="shared" si="29"/>
        <v>0</v>
      </c>
      <c r="I32" s="6">
        <f t="shared" si="29"/>
        <v>0</v>
      </c>
      <c r="J32" s="6">
        <f t="shared" si="29"/>
        <v>0</v>
      </c>
      <c r="K32" s="6">
        <f t="shared" si="29"/>
        <v>0</v>
      </c>
      <c r="L32" s="86">
        <f>SUM(L29:L31)</f>
        <v>0</v>
      </c>
    </row>
    <row r="33" spans="1:16" x14ac:dyDescent="0.2">
      <c r="A33" s="77" t="s">
        <v>34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83"/>
    </row>
    <row r="34" spans="1:16" x14ac:dyDescent="0.2">
      <c r="A34" s="3" t="s">
        <v>10</v>
      </c>
      <c r="B34" s="342">
        <v>0</v>
      </c>
      <c r="C34" s="342">
        <v>0</v>
      </c>
      <c r="D34" s="342">
        <v>0</v>
      </c>
      <c r="E34" s="342">
        <v>0</v>
      </c>
      <c r="F34" s="342">
        <v>0</v>
      </c>
      <c r="G34" s="342">
        <v>0</v>
      </c>
      <c r="H34" s="342">
        <v>0</v>
      </c>
      <c r="I34" s="342">
        <v>0</v>
      </c>
      <c r="J34" s="342">
        <v>0</v>
      </c>
      <c r="K34" s="342">
        <v>0</v>
      </c>
      <c r="L34" s="83">
        <f>SUM(B34:K34)</f>
        <v>0</v>
      </c>
    </row>
    <row r="35" spans="1:16" x14ac:dyDescent="0.2">
      <c r="A35" s="3" t="s">
        <v>11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83">
        <f>SUM(B35:K35)</f>
        <v>0</v>
      </c>
    </row>
    <row r="36" spans="1:16" ht="12" thickBot="1" x14ac:dyDescent="0.25">
      <c r="A36" s="76" t="str">
        <f>CONCATENATE("Total ",A33)</f>
        <v>Total Travel</v>
      </c>
      <c r="B36" s="6">
        <f>SUM(B33:B35)</f>
        <v>0</v>
      </c>
      <c r="C36" s="6">
        <f>SUM(C33:C35)</f>
        <v>0</v>
      </c>
      <c r="D36" s="6">
        <f t="shared" ref="D36:E36" si="30">SUM(D33:D35)</f>
        <v>0</v>
      </c>
      <c r="E36" s="6">
        <f t="shared" si="30"/>
        <v>0</v>
      </c>
      <c r="F36" s="6">
        <f t="shared" ref="F36:K36" si="31">SUM(F33:F35)</f>
        <v>0</v>
      </c>
      <c r="G36" s="6">
        <f t="shared" si="31"/>
        <v>0</v>
      </c>
      <c r="H36" s="6">
        <f t="shared" si="31"/>
        <v>0</v>
      </c>
      <c r="I36" s="6">
        <f t="shared" si="31"/>
        <v>0</v>
      </c>
      <c r="J36" s="6">
        <f t="shared" si="31"/>
        <v>0</v>
      </c>
      <c r="K36" s="6">
        <f t="shared" si="31"/>
        <v>0</v>
      </c>
      <c r="L36" s="86">
        <f>SUM(L33:L35)</f>
        <v>0</v>
      </c>
    </row>
    <row r="37" spans="1:16" x14ac:dyDescent="0.2">
      <c r="A37" s="77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83"/>
    </row>
    <row r="38" spans="1:16" x14ac:dyDescent="0.2">
      <c r="A38" s="3" t="s">
        <v>75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83">
        <f>SUM(B38:K38)</f>
        <v>0</v>
      </c>
    </row>
    <row r="39" spans="1:16" x14ac:dyDescent="0.2">
      <c r="A39" s="3" t="s">
        <v>42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83">
        <f t="shared" ref="L39:L42" si="32">SUM(B39:K39)</f>
        <v>0</v>
      </c>
    </row>
    <row r="40" spans="1:16" x14ac:dyDescent="0.2">
      <c r="A40" s="3" t="s">
        <v>34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83">
        <f t="shared" si="32"/>
        <v>0</v>
      </c>
      <c r="P40" s="1"/>
    </row>
    <row r="41" spans="1:16" x14ac:dyDescent="0.2">
      <c r="A41" s="3" t="s">
        <v>43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83">
        <f t="shared" si="32"/>
        <v>0</v>
      </c>
    </row>
    <row r="42" spans="1:16" x14ac:dyDescent="0.2">
      <c r="A42" s="3" t="s">
        <v>29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83">
        <f t="shared" si="32"/>
        <v>0</v>
      </c>
    </row>
    <row r="43" spans="1:16" ht="12" thickBot="1" x14ac:dyDescent="0.25">
      <c r="A43" s="76" t="str">
        <f>CONCATENATE("Total ",A37)</f>
        <v>Total Participant Support Costs</v>
      </c>
      <c r="B43" s="6">
        <f>SUM(B37:B42)</f>
        <v>0</v>
      </c>
      <c r="C43" s="6">
        <f>SUM(C37:C42)</f>
        <v>0</v>
      </c>
      <c r="D43" s="6">
        <f t="shared" ref="D43:E43" si="33">SUM(D37:D42)</f>
        <v>0</v>
      </c>
      <c r="E43" s="6">
        <f t="shared" si="33"/>
        <v>0</v>
      </c>
      <c r="F43" s="6">
        <f t="shared" ref="F43:K43" si="34">SUM(F37:F42)</f>
        <v>0</v>
      </c>
      <c r="G43" s="6">
        <f t="shared" si="34"/>
        <v>0</v>
      </c>
      <c r="H43" s="6">
        <f t="shared" si="34"/>
        <v>0</v>
      </c>
      <c r="I43" s="6">
        <f t="shared" si="34"/>
        <v>0</v>
      </c>
      <c r="J43" s="6">
        <f t="shared" si="34"/>
        <v>0</v>
      </c>
      <c r="K43" s="6">
        <f t="shared" si="34"/>
        <v>0</v>
      </c>
      <c r="L43" s="86">
        <f>SUM(L37:L42)</f>
        <v>0</v>
      </c>
    </row>
    <row r="44" spans="1:16" x14ac:dyDescent="0.2">
      <c r="A44" s="77" t="s">
        <v>13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83"/>
    </row>
    <row r="45" spans="1:16" x14ac:dyDescent="0.2">
      <c r="A45" s="3" t="s">
        <v>14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83">
        <f>SUM(B45:K45)</f>
        <v>0</v>
      </c>
    </row>
    <row r="46" spans="1:16" x14ac:dyDescent="0.2">
      <c r="A46" s="3" t="s">
        <v>181</v>
      </c>
      <c r="B46" s="78">
        <v>0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83">
        <f t="shared" ref="L46:L53" si="35">SUM(B46:K46)</f>
        <v>0</v>
      </c>
    </row>
    <row r="47" spans="1:16" x14ac:dyDescent="0.2">
      <c r="A47" s="3" t="s">
        <v>240</v>
      </c>
      <c r="B47" s="78">
        <v>0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83">
        <f t="shared" si="35"/>
        <v>0</v>
      </c>
    </row>
    <row r="48" spans="1:16" x14ac:dyDescent="0.2">
      <c r="A48" s="3" t="s">
        <v>182</v>
      </c>
      <c r="B48" s="78">
        <v>0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83">
        <f t="shared" si="35"/>
        <v>0</v>
      </c>
    </row>
    <row r="49" spans="1:20" x14ac:dyDescent="0.2">
      <c r="A49" s="3" t="s">
        <v>41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83">
        <f t="shared" si="35"/>
        <v>0</v>
      </c>
    </row>
    <row r="50" spans="1:20" x14ac:dyDescent="0.2">
      <c r="A50" s="3" t="s">
        <v>147</v>
      </c>
      <c r="B50" s="78">
        <f>O70</f>
        <v>0</v>
      </c>
      <c r="C50" s="78">
        <f t="shared" ref="C50:E50" si="36">P70</f>
        <v>0</v>
      </c>
      <c r="D50" s="78">
        <f t="shared" si="36"/>
        <v>0</v>
      </c>
      <c r="E50" s="78">
        <f t="shared" si="36"/>
        <v>0</v>
      </c>
      <c r="F50" s="78">
        <f t="shared" ref="F50:F51" si="37">S70</f>
        <v>0</v>
      </c>
      <c r="G50" s="78">
        <f t="shared" ref="G50:G51" si="38">T70</f>
        <v>0</v>
      </c>
      <c r="H50" s="78">
        <f t="shared" ref="H50:H51" si="39">U70</f>
        <v>0</v>
      </c>
      <c r="I50" s="78">
        <f t="shared" ref="I50:I51" si="40">V70</f>
        <v>0</v>
      </c>
      <c r="J50" s="78">
        <f t="shared" ref="J50:J51" si="41">W70</f>
        <v>0</v>
      </c>
      <c r="K50" s="78">
        <f t="shared" ref="K50:K51" si="42">X70</f>
        <v>0</v>
      </c>
      <c r="L50" s="83">
        <f t="shared" si="35"/>
        <v>0</v>
      </c>
    </row>
    <row r="51" spans="1:20" x14ac:dyDescent="0.2">
      <c r="A51" s="3" t="s">
        <v>146</v>
      </c>
      <c r="B51" s="78">
        <f>O71</f>
        <v>0</v>
      </c>
      <c r="C51" s="78">
        <f t="shared" ref="C51:E51" si="43">P71</f>
        <v>0</v>
      </c>
      <c r="D51" s="78">
        <f t="shared" si="43"/>
        <v>0</v>
      </c>
      <c r="E51" s="78">
        <f t="shared" si="43"/>
        <v>0</v>
      </c>
      <c r="F51" s="78">
        <f t="shared" si="37"/>
        <v>0</v>
      </c>
      <c r="G51" s="78">
        <f t="shared" si="38"/>
        <v>0</v>
      </c>
      <c r="H51" s="78">
        <f t="shared" si="39"/>
        <v>0</v>
      </c>
      <c r="I51" s="78">
        <f t="shared" si="40"/>
        <v>0</v>
      </c>
      <c r="J51" s="78">
        <f t="shared" si="41"/>
        <v>0</v>
      </c>
      <c r="K51" s="78">
        <f t="shared" si="42"/>
        <v>0</v>
      </c>
      <c r="L51" s="83">
        <f t="shared" si="35"/>
        <v>0</v>
      </c>
    </row>
    <row r="52" spans="1:20" x14ac:dyDescent="0.2">
      <c r="A52" s="3" t="s">
        <v>29</v>
      </c>
      <c r="B52" s="78">
        <v>0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83">
        <f t="shared" si="35"/>
        <v>0</v>
      </c>
    </row>
    <row r="53" spans="1:20" x14ac:dyDescent="0.2">
      <c r="A53" s="3" t="s">
        <v>29</v>
      </c>
      <c r="B53" s="78">
        <v>0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83">
        <f t="shared" si="35"/>
        <v>0</v>
      </c>
      <c r="P53" s="1"/>
      <c r="S53" s="5"/>
      <c r="T53" s="5"/>
    </row>
    <row r="54" spans="1:20" ht="12" thickBot="1" x14ac:dyDescent="0.25">
      <c r="A54" s="76" t="str">
        <f>CONCATENATE("Total ",A44)</f>
        <v>Total Other Direct Costs</v>
      </c>
      <c r="B54" s="86">
        <f t="shared" ref="B54:L54" si="44">SUM(B44:B53)</f>
        <v>0</v>
      </c>
      <c r="C54" s="6">
        <f t="shared" si="44"/>
        <v>0</v>
      </c>
      <c r="D54" s="6">
        <f t="shared" si="44"/>
        <v>0</v>
      </c>
      <c r="E54" s="6">
        <f t="shared" si="44"/>
        <v>0</v>
      </c>
      <c r="F54" s="6">
        <f t="shared" ref="F54:K54" si="45">SUM(F44:F53)</f>
        <v>0</v>
      </c>
      <c r="G54" s="6">
        <f t="shared" si="45"/>
        <v>0</v>
      </c>
      <c r="H54" s="6">
        <f t="shared" si="45"/>
        <v>0</v>
      </c>
      <c r="I54" s="6">
        <f t="shared" si="45"/>
        <v>0</v>
      </c>
      <c r="J54" s="6">
        <f t="shared" si="45"/>
        <v>0</v>
      </c>
      <c r="K54" s="6">
        <f t="shared" si="45"/>
        <v>0</v>
      </c>
      <c r="L54" s="86">
        <f t="shared" si="44"/>
        <v>0</v>
      </c>
      <c r="S54" s="5"/>
      <c r="T54" s="5"/>
    </row>
    <row r="55" spans="1:20" ht="12" thickBot="1" x14ac:dyDescent="0.25">
      <c r="A55" s="82" t="s">
        <v>16</v>
      </c>
      <c r="B55" s="124">
        <f t="shared" ref="B55:L55" si="46">SUM(+B11+B19+B27+B32+B36+B43+B54)</f>
        <v>0</v>
      </c>
      <c r="C55" s="124">
        <f t="shared" si="46"/>
        <v>0</v>
      </c>
      <c r="D55" s="124">
        <f t="shared" si="46"/>
        <v>0</v>
      </c>
      <c r="E55" s="124">
        <f t="shared" si="46"/>
        <v>0</v>
      </c>
      <c r="F55" s="124">
        <f t="shared" ref="F55:K55" si="47">SUM(+F11+F19+F27+F32+F36+F43+F54)</f>
        <v>0</v>
      </c>
      <c r="G55" s="124">
        <f t="shared" si="47"/>
        <v>0</v>
      </c>
      <c r="H55" s="124">
        <f t="shared" si="47"/>
        <v>0</v>
      </c>
      <c r="I55" s="124">
        <f t="shared" si="47"/>
        <v>0</v>
      </c>
      <c r="J55" s="124">
        <f t="shared" si="47"/>
        <v>0</v>
      </c>
      <c r="K55" s="124">
        <f t="shared" si="47"/>
        <v>0</v>
      </c>
      <c r="L55" s="125">
        <f t="shared" si="46"/>
        <v>0</v>
      </c>
      <c r="S55" s="5"/>
      <c r="T55" s="5"/>
    </row>
    <row r="56" spans="1:20" ht="12" thickBot="1" x14ac:dyDescent="0.25">
      <c r="A56" s="71" t="s">
        <v>17</v>
      </c>
      <c r="B56" s="94">
        <f>+B55-(B50+B51+B43+B61+B32)</f>
        <v>0</v>
      </c>
      <c r="C56" s="94">
        <f t="shared" ref="C56:K56" si="48">+C55-(C50+C51+C43+C61+C32)</f>
        <v>0</v>
      </c>
      <c r="D56" s="94">
        <f t="shared" si="48"/>
        <v>0</v>
      </c>
      <c r="E56" s="94">
        <f t="shared" si="48"/>
        <v>0</v>
      </c>
      <c r="F56" s="94">
        <f t="shared" si="48"/>
        <v>0</v>
      </c>
      <c r="G56" s="94">
        <f t="shared" si="48"/>
        <v>0</v>
      </c>
      <c r="H56" s="94">
        <f t="shared" si="48"/>
        <v>0</v>
      </c>
      <c r="I56" s="94">
        <f t="shared" si="48"/>
        <v>0</v>
      </c>
      <c r="J56" s="94">
        <f t="shared" si="48"/>
        <v>0</v>
      </c>
      <c r="K56" s="94">
        <f t="shared" si="48"/>
        <v>0</v>
      </c>
      <c r="L56" s="81">
        <f>SUM(B56:K56)</f>
        <v>0</v>
      </c>
      <c r="M56" s="108"/>
      <c r="S56" s="5"/>
      <c r="T56" s="5"/>
    </row>
    <row r="57" spans="1:20" ht="12" thickBot="1" x14ac:dyDescent="0.25">
      <c r="A57" s="99" t="s">
        <v>18</v>
      </c>
      <c r="B57" s="126">
        <f>IF(AND('rates, dates, etc'!$B$8="no",'Budget Summary'!$L$99&lt;'Budget Summary'!$L$100),B63,B64)</f>
        <v>0</v>
      </c>
      <c r="C57" s="126">
        <f>IF(AND('rates, dates, etc'!$B$8="no",'Budget Summary'!$L$99&lt;'Budget Summary'!$L$100),C63,C64)</f>
        <v>0</v>
      </c>
      <c r="D57" s="126">
        <f>IF(AND('rates, dates, etc'!$B$8="no",'Budget Summary'!$L$99&lt;'Budget Summary'!$L$100),D63,D64)</f>
        <v>0</v>
      </c>
      <c r="E57" s="126">
        <f>IF(AND('rates, dates, etc'!$B$8="no",'Budget Summary'!$L$99&lt;'Budget Summary'!$L$100),E63,E64)</f>
        <v>0</v>
      </c>
      <c r="F57" s="126">
        <f>IF(AND('rates, dates, etc'!$B$8="no",'Budget Summary'!$L$99&lt;'Budget Summary'!$L$100),F63,F64)</f>
        <v>0</v>
      </c>
      <c r="G57" s="126">
        <f>IF(AND('rates, dates, etc'!$B$8="no",'Budget Summary'!$L$99&lt;'Budget Summary'!$L$100),G63,G64)</f>
        <v>0</v>
      </c>
      <c r="H57" s="126">
        <f>IF(AND('rates, dates, etc'!$B$8="no",'Budget Summary'!$L$99&lt;'Budget Summary'!$L$100),H63,H64)</f>
        <v>0</v>
      </c>
      <c r="I57" s="126">
        <f>IF(AND('rates, dates, etc'!$B$8="no",'Budget Summary'!$L$99&lt;'Budget Summary'!$L$100),I63,I64)</f>
        <v>0</v>
      </c>
      <c r="J57" s="126">
        <f>IF(AND('rates, dates, etc'!$B$8="no",'Budget Summary'!$L$99&lt;'Budget Summary'!$L$100),J63,J64)</f>
        <v>0</v>
      </c>
      <c r="K57" s="126">
        <f>IF(AND('rates, dates, etc'!$B$8="no",'Budget Summary'!$L$99&lt;'Budget Summary'!$L$100),K63,K64)</f>
        <v>0</v>
      </c>
      <c r="L57" s="127">
        <f>SUM(B57:K57)</f>
        <v>0</v>
      </c>
      <c r="M57" s="107"/>
      <c r="S57" s="5"/>
      <c r="T57" s="5"/>
    </row>
    <row r="58" spans="1:20" ht="12" thickBot="1" x14ac:dyDescent="0.25">
      <c r="A58" s="100" t="s">
        <v>19</v>
      </c>
      <c r="B58" s="128">
        <f>+B55+B57</f>
        <v>0</v>
      </c>
      <c r="C58" s="128">
        <f t="shared" ref="C58:E58" si="49">+C55+C57</f>
        <v>0</v>
      </c>
      <c r="D58" s="128">
        <f t="shared" si="49"/>
        <v>0</v>
      </c>
      <c r="E58" s="128">
        <f t="shared" si="49"/>
        <v>0</v>
      </c>
      <c r="F58" s="128">
        <f t="shared" ref="F58:K58" si="50">+F55+F57</f>
        <v>0</v>
      </c>
      <c r="G58" s="128">
        <f t="shared" si="50"/>
        <v>0</v>
      </c>
      <c r="H58" s="128">
        <f t="shared" si="50"/>
        <v>0</v>
      </c>
      <c r="I58" s="128">
        <f t="shared" si="50"/>
        <v>0</v>
      </c>
      <c r="J58" s="128">
        <f t="shared" si="50"/>
        <v>0</v>
      </c>
      <c r="K58" s="128">
        <f t="shared" si="50"/>
        <v>0</v>
      </c>
      <c r="L58" s="129">
        <f>SUM(B58:K58)</f>
        <v>0</v>
      </c>
      <c r="Q58" s="4"/>
      <c r="S58" s="5"/>
      <c r="T58" s="5"/>
    </row>
    <row r="59" spans="1:20" x14ac:dyDescent="0.2">
      <c r="A59" s="7"/>
      <c r="B59" s="4"/>
      <c r="C59" s="4"/>
      <c r="D59" s="4"/>
      <c r="E59" s="4"/>
      <c r="F59" s="4"/>
      <c r="G59" s="4"/>
      <c r="H59" s="4"/>
      <c r="I59" s="4"/>
      <c r="J59" s="4"/>
      <c r="K59" s="4"/>
      <c r="Q59" s="4"/>
      <c r="S59" s="5"/>
      <c r="T59" s="5"/>
    </row>
    <row r="60" spans="1:20" ht="12" thickBo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20" ht="12" thickBot="1" x14ac:dyDescent="0.25">
      <c r="A61" s="20" t="s">
        <v>40</v>
      </c>
      <c r="B61" s="87">
        <f>+B49-IF(B49&lt;25000,B49,25000)</f>
        <v>0</v>
      </c>
      <c r="C61" s="87">
        <f>+C49-IF(+B49&gt;25000,0,IF(B49+C49&gt;25000,(25000-B49),C49))</f>
        <v>0</v>
      </c>
      <c r="D61" s="87">
        <f>+D49-IF(+B49+C49&gt;25000,0,IF(B49+C49+D49&gt;25000,(25000-(B49+C49)),D49))</f>
        <v>0</v>
      </c>
      <c r="E61" s="87">
        <f>+E49-IF(B49+C49+D49&gt;25000,0,IF(B49+C49+D49+E49&gt;25000,(25000-(C49+C49+D49)),E49))</f>
        <v>0</v>
      </c>
      <c r="F61" s="87">
        <f t="shared" ref="F61:K61" si="51">+F49-IF(C49+D49+E49&gt;25000,0,IF(C49+D49+E49+F49&gt;25000,(25000-(D49+D49+E49)),F49))</f>
        <v>0</v>
      </c>
      <c r="G61" s="87">
        <f t="shared" si="51"/>
        <v>0</v>
      </c>
      <c r="H61" s="87">
        <f t="shared" si="51"/>
        <v>0</v>
      </c>
      <c r="I61" s="87">
        <f t="shared" si="51"/>
        <v>0</v>
      </c>
      <c r="J61" s="87">
        <f t="shared" si="51"/>
        <v>0</v>
      </c>
      <c r="K61" s="87">
        <f t="shared" si="51"/>
        <v>0</v>
      </c>
      <c r="L61" s="92">
        <f>SUM(B61:K61)</f>
        <v>0</v>
      </c>
    </row>
    <row r="62" spans="1:20" ht="12" thickBo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20" ht="12" thickBot="1" x14ac:dyDescent="0.25">
      <c r="A63" s="90" t="s">
        <v>110</v>
      </c>
      <c r="B63" s="93">
        <f>IF('rates, dates, etc'!$B$8="Yes",0,ROUND((B55*O85*$P$89)+(B55*P85*$P$90),0))</f>
        <v>0</v>
      </c>
      <c r="C63" s="93">
        <f>IF('rates, dates, etc'!$B$8="Yes",0,ROUND((C55*P85*$P$89)+(C55*Q85*$P$90),0))</f>
        <v>0</v>
      </c>
      <c r="D63" s="93">
        <f>IF('rates, dates, etc'!$B$8="Yes",0,ROUND((D55*Q85*$P$89)+(D55*R85*$P$90),0))</f>
        <v>0</v>
      </c>
      <c r="E63" s="93">
        <f>IF('rates, dates, etc'!$B$8="Yes",0,ROUND((E55*R85*$P$89)+(E55*S85*$P$90),0))</f>
        <v>0</v>
      </c>
      <c r="F63" s="93">
        <f>IF('rates, dates, etc'!$B$8="Yes",0,ROUND((F55*S85*$P$89)+(F55*T85*$P$90),0))</f>
        <v>0</v>
      </c>
      <c r="G63" s="93">
        <f>IF('rates, dates, etc'!$B$8="Yes",0,ROUND((G55*T85*$P$89)+(G55*U85*$P$90),0))</f>
        <v>0</v>
      </c>
      <c r="H63" s="93">
        <f>IF('rates, dates, etc'!$B$8="Yes",0,ROUND((H55*U85*$P$89)+(H55*V85*$P$90),0))</f>
        <v>0</v>
      </c>
      <c r="I63" s="93">
        <f>IF('rates, dates, etc'!$B$8="Yes",0,ROUND((I55*V85*$P$89)+(I55*W85*$P$90),0))</f>
        <v>0</v>
      </c>
      <c r="J63" s="93">
        <f>IF('rates, dates, etc'!$B$8="Yes",0,ROUND((J55*W85*$P$89)+(J55*X85*$P$90),0))</f>
        <v>0</v>
      </c>
      <c r="K63" s="93">
        <f>IF('rates, dates, etc'!$B$8="Yes",0,ROUND((K55*X85*$P$89)+(K55*Y85*$P$90),0))</f>
        <v>0</v>
      </c>
      <c r="L63" s="93">
        <f>SUM(B63:K63)</f>
        <v>0</v>
      </c>
    </row>
    <row r="64" spans="1:20" ht="12" thickBot="1" x14ac:dyDescent="0.25">
      <c r="A64" s="91" t="s">
        <v>109</v>
      </c>
      <c r="B64" s="93">
        <f t="shared" ref="B64:K64" si="52">ROUND((B56*O86*$P$89)+(B56*P86*$P$90),0)</f>
        <v>0</v>
      </c>
      <c r="C64" s="95">
        <f t="shared" si="52"/>
        <v>0</v>
      </c>
      <c r="D64" s="95">
        <f t="shared" si="52"/>
        <v>0</v>
      </c>
      <c r="E64" s="95">
        <f t="shared" si="52"/>
        <v>0</v>
      </c>
      <c r="F64" s="95">
        <f t="shared" si="52"/>
        <v>0</v>
      </c>
      <c r="G64" s="95">
        <f t="shared" si="52"/>
        <v>0</v>
      </c>
      <c r="H64" s="95">
        <f t="shared" si="52"/>
        <v>0</v>
      </c>
      <c r="I64" s="95">
        <f t="shared" si="52"/>
        <v>0</v>
      </c>
      <c r="J64" s="95">
        <f t="shared" si="52"/>
        <v>0</v>
      </c>
      <c r="K64" s="95">
        <f t="shared" si="52"/>
        <v>0</v>
      </c>
      <c r="L64" s="93">
        <f>SUM(B64:K64)</f>
        <v>0</v>
      </c>
    </row>
    <row r="66" spans="14:26" ht="12" thickBot="1" x14ac:dyDescent="0.25">
      <c r="N66" s="43" t="s">
        <v>71</v>
      </c>
      <c r="O66" s="9" t="str">
        <f>+'rates, dates, etc'!B85</f>
        <v>Year 1</v>
      </c>
      <c r="P66" s="9" t="str">
        <f>+'rates, dates, etc'!C85</f>
        <v>Year 2</v>
      </c>
      <c r="Q66" s="9" t="str">
        <f>+'rates, dates, etc'!D85</f>
        <v>Year 3</v>
      </c>
      <c r="R66" s="9" t="str">
        <f>+'rates, dates, etc'!E85</f>
        <v>Year 4</v>
      </c>
      <c r="S66" s="9" t="str">
        <f>+'rates, dates, etc'!F85</f>
        <v>Year 5</v>
      </c>
      <c r="T66" s="9" t="str">
        <f>+'rates, dates, etc'!G85</f>
        <v>Year 6</v>
      </c>
      <c r="U66" s="9" t="str">
        <f>+'rates, dates, etc'!H85</f>
        <v>Year 7</v>
      </c>
      <c r="V66" s="9" t="str">
        <f>+'rates, dates, etc'!I85</f>
        <v>Year 8</v>
      </c>
      <c r="W66" s="9" t="str">
        <f>+'rates, dates, etc'!J85</f>
        <v>Year 9</v>
      </c>
      <c r="X66" s="9" t="str">
        <f>+'rates, dates, etc'!K85</f>
        <v>Year 10</v>
      </c>
    </row>
    <row r="67" spans="14:26" x14ac:dyDescent="0.2">
      <c r="N67" s="14" t="s">
        <v>32</v>
      </c>
      <c r="O67" s="15">
        <f>SUM('rates, dates, etc'!S404:S406)/3</f>
        <v>0</v>
      </c>
      <c r="P67" s="15">
        <f>SUM('rates, dates, etc'!T404:T406)/3</f>
        <v>0</v>
      </c>
      <c r="Q67" s="15">
        <f>SUM('rates, dates, etc'!U404:U406)/3</f>
        <v>0</v>
      </c>
      <c r="R67" s="15">
        <f>SUM('rates, dates, etc'!V404:V406)/3</f>
        <v>0</v>
      </c>
      <c r="S67" s="15">
        <f>SUM('rates, dates, etc'!W404:W406)/3</f>
        <v>0</v>
      </c>
      <c r="T67" s="15">
        <f>SUM('rates, dates, etc'!X404:X406)/3</f>
        <v>0</v>
      </c>
      <c r="U67" s="15">
        <f>SUM('rates, dates, etc'!Y404:Y406)/3</f>
        <v>0</v>
      </c>
      <c r="V67" s="15">
        <f>SUM('rates, dates, etc'!Z404:Z406)/3</f>
        <v>0</v>
      </c>
      <c r="W67" s="15">
        <f>SUM('rates, dates, etc'!AA404:AA406)/3</f>
        <v>0</v>
      </c>
      <c r="X67" s="15">
        <f>SUM('rates, dates, etc'!AB404:AB406)/3</f>
        <v>0</v>
      </c>
    </row>
    <row r="68" spans="14:26" x14ac:dyDescent="0.2">
      <c r="N68" s="3" t="s">
        <v>144</v>
      </c>
      <c r="O68" s="4">
        <f>(SUMIF('rates, dates, etc'!$R$420:$R$428,"Stipend (Fall)",'rates, dates, etc'!S420:S428))+
(SUMIF('rates, dates, etc'!$R$420:$R$428,"Stipend (Spring)",'rates, dates, etc'!S420:S428))</f>
        <v>0</v>
      </c>
      <c r="P68" s="4">
        <f>(SUMIF('rates, dates, etc'!$R$420:$R$428,"Stipend (Fall)",'rates, dates, etc'!T420:T428))+
(SUMIF('rates, dates, etc'!$R$420:$R$428,"Stipend (Spring)",'rates, dates, etc'!T420:T428))</f>
        <v>0</v>
      </c>
      <c r="Q68" s="4">
        <f>(SUMIF('rates, dates, etc'!$R$420:$R$428,"Stipend (Fall)",'rates, dates, etc'!U420:U428))+
(SUMIF('rates, dates, etc'!$R$420:$R$428,"Stipend (Spring)",'rates, dates, etc'!U420:U428))</f>
        <v>0</v>
      </c>
      <c r="R68" s="4">
        <f>(SUMIF('rates, dates, etc'!$R$420:$R$428,"Stipend (Fall)",'rates, dates, etc'!V420:V428))+
(SUMIF('rates, dates, etc'!$R$420:$R$428,"Stipend (Spring)",'rates, dates, etc'!V420:V428))</f>
        <v>0</v>
      </c>
      <c r="S68" s="4">
        <f>(SUMIF('rates, dates, etc'!$R$420:$R$428,"Stipend (Fall)",'rates, dates, etc'!W420:W428))+
(SUMIF('rates, dates, etc'!$R$420:$R$428,"Stipend (Spring)",'rates, dates, etc'!W420:W428))</f>
        <v>0</v>
      </c>
      <c r="T68" s="4">
        <f>(SUMIF('rates, dates, etc'!$R$420:$R$428,"Stipend (Fall)",'rates, dates, etc'!X420:X428))+
(SUMIF('rates, dates, etc'!$R$420:$R$428,"Stipend (Spring)",'rates, dates, etc'!X420:X428))</f>
        <v>0</v>
      </c>
      <c r="U68" s="4">
        <f>(SUMIF('rates, dates, etc'!$R$420:$R$428,"Stipend (Fall)",'rates, dates, etc'!Y420:Y428))+
(SUMIF('rates, dates, etc'!$R$420:$R$428,"Stipend (Spring)",'rates, dates, etc'!Y420:Y428))</f>
        <v>0</v>
      </c>
      <c r="V68" s="4">
        <f>(SUMIF('rates, dates, etc'!$R$420:$R$428,"Stipend (Fall)",'rates, dates, etc'!Z420:Z428))+
(SUMIF('rates, dates, etc'!$R$420:$R$428,"Stipend (Spring)",'rates, dates, etc'!Z420:Z428))</f>
        <v>0</v>
      </c>
      <c r="W68" s="4">
        <f>(SUMIF('rates, dates, etc'!$R$420:$R$428,"Stipend (Fall)",'rates, dates, etc'!AA420:AA428))+
(SUMIF('rates, dates, etc'!$R$420:$R$428,"Stipend (Spring)",'rates, dates, etc'!AA420:AA428))</f>
        <v>0</v>
      </c>
      <c r="X68" s="4">
        <f>(SUMIF('rates, dates, etc'!$R$420:$R$428,"Stipend (Fall)",'rates, dates, etc'!AB420:AB428))+
(SUMIF('rates, dates, etc'!$R$420:$R$428,"Stipend (Spring)",'rates, dates, etc'!AB420:AB428))</f>
        <v>0</v>
      </c>
    </row>
    <row r="69" spans="14:26" x14ac:dyDescent="0.2">
      <c r="N69" s="3" t="s">
        <v>145</v>
      </c>
      <c r="O69" s="4">
        <f>(SUMIF('rates, dates, etc'!$R$420:$R$428,"Stipend (Summer)",'rates, dates, etc'!S420:S428))</f>
        <v>0</v>
      </c>
      <c r="P69" s="4">
        <f>(SUMIF('rates, dates, etc'!$R$420:$R$428,"Stipend (Summer)",'rates, dates, etc'!T420:T428))</f>
        <v>0</v>
      </c>
      <c r="Q69" s="4">
        <f>(SUMIF('rates, dates, etc'!$R$420:$R$428,"Stipend (Summer)",'rates, dates, etc'!U420:U428))</f>
        <v>0</v>
      </c>
      <c r="R69" s="4">
        <f>(SUMIF('rates, dates, etc'!$R$420:$R$428,"Stipend (Summer)",'rates, dates, etc'!V420:V428))</f>
        <v>0</v>
      </c>
      <c r="S69" s="4">
        <f>(SUMIF('rates, dates, etc'!$R$420:$R$428,"Stipend (Summer)",'rates, dates, etc'!W420:W428))</f>
        <v>0</v>
      </c>
      <c r="T69" s="4">
        <f>(SUMIF('rates, dates, etc'!$R$420:$R$428,"Stipend (Summer)",'rates, dates, etc'!X420:X428))</f>
        <v>0</v>
      </c>
      <c r="U69" s="4">
        <f>(SUMIF('rates, dates, etc'!$R$420:$R$428,"Stipend (Summer)",'rates, dates, etc'!Y420:Y428))</f>
        <v>0</v>
      </c>
      <c r="V69" s="4">
        <f>(SUMIF('rates, dates, etc'!$R$420:$R$428,"Stipend (Summer)",'rates, dates, etc'!Z420:Z428))</f>
        <v>0</v>
      </c>
      <c r="W69" s="4">
        <f>(SUMIF('rates, dates, etc'!$R$420:$R$428,"Stipend (Summer)",'rates, dates, etc'!AA420:AA428))</f>
        <v>0</v>
      </c>
      <c r="X69" s="4">
        <f>(SUMIF('rates, dates, etc'!$R$420:$R$428,"Stipend (Summer)",'rates, dates, etc'!AB420:AB428))</f>
        <v>0</v>
      </c>
    </row>
    <row r="70" spans="14:26" x14ac:dyDescent="0.2">
      <c r="N70" s="3" t="s">
        <v>8</v>
      </c>
      <c r="O70" s="4">
        <f>(SUMIF('rates, dates, etc'!$R$420:$R$428,"Tuition (Fall)",'rates, dates, etc'!S420:S428))+
(SUMIF('rates, dates, etc'!$R$420:$R$428,"Tuition (Spring)",'rates, dates, etc'!S420:S428))+
(SUMIF('rates, dates, etc'!$R$420:$R$428,"Tuition (Summer)",'rates, dates, etc'!S420:S428))</f>
        <v>0</v>
      </c>
      <c r="P70" s="4">
        <f>(SUMIF('rates, dates, etc'!$R$420:$R$428,"Tuition (Fall)",'rates, dates, etc'!T420:T428))+
(SUMIF('rates, dates, etc'!$R$420:$R$428,"Tuition (Spring)",'rates, dates, etc'!T420:T428))+
(SUMIF('rates, dates, etc'!$R$420:$R$428,"Tuition (Summer)",'rates, dates, etc'!T420:T428))</f>
        <v>0</v>
      </c>
      <c r="Q70" s="4">
        <f>(SUMIF('rates, dates, etc'!$R$420:$R$428,"Tuition (Fall)",'rates, dates, etc'!U420:U428))+
(SUMIF('rates, dates, etc'!$R$420:$R$428,"Tuition (Spring)",'rates, dates, etc'!U420:U428))+
(SUMIF('rates, dates, etc'!$R$420:$R$428,"Tuition (Summer)",'rates, dates, etc'!U420:U428))</f>
        <v>0</v>
      </c>
      <c r="R70" s="4">
        <f>(SUMIF('rates, dates, etc'!$R$420:$R$428,"Tuition (Fall)",'rates, dates, etc'!V420:V428))+
(SUMIF('rates, dates, etc'!$R$420:$R$428,"Tuition (Spring)",'rates, dates, etc'!V420:V428))+
(SUMIF('rates, dates, etc'!$R$420:$R$428,"Tuition (Summer)",'rates, dates, etc'!V420:V428))</f>
        <v>0</v>
      </c>
      <c r="S70" s="4">
        <f>(SUMIF('rates, dates, etc'!$R$420:$R$428,"Tuition (Fall)",'rates, dates, etc'!W420:W428))+
(SUMIF('rates, dates, etc'!$R$420:$R$428,"Tuition (Spring)",'rates, dates, etc'!W420:W428))+
(SUMIF('rates, dates, etc'!$R$420:$R$428,"Tuition (Summer)",'rates, dates, etc'!W420:W428))</f>
        <v>0</v>
      </c>
      <c r="T70" s="4">
        <f>(SUMIF('rates, dates, etc'!$R$420:$R$428,"Tuition (Fall)",'rates, dates, etc'!X420:X428))+
(SUMIF('rates, dates, etc'!$R$420:$R$428,"Tuition (Spring)",'rates, dates, etc'!X420:X428))+
(SUMIF('rates, dates, etc'!$R$420:$R$428,"Tuition (Summer)",'rates, dates, etc'!X420:X428))</f>
        <v>0</v>
      </c>
      <c r="U70" s="4">
        <f>(SUMIF('rates, dates, etc'!$R$420:$R$428,"Tuition (Fall)",'rates, dates, etc'!Y420:Y428))+
(SUMIF('rates, dates, etc'!$R$420:$R$428,"Tuition (Spring)",'rates, dates, etc'!Y420:Y428))+
(SUMIF('rates, dates, etc'!$R$420:$R$428,"Tuition (Summer)",'rates, dates, etc'!Y420:Y428))</f>
        <v>0</v>
      </c>
      <c r="V70" s="4">
        <f>(SUMIF('rates, dates, etc'!$R$420:$R$428,"Tuition (Fall)",'rates, dates, etc'!Z420:Z428))+
(SUMIF('rates, dates, etc'!$R$420:$R$428,"Tuition (Spring)",'rates, dates, etc'!Z420:Z428))+
(SUMIF('rates, dates, etc'!$R$420:$R$428,"Tuition (Summer)",'rates, dates, etc'!Z420:Z428))</f>
        <v>0</v>
      </c>
      <c r="W70" s="4">
        <f>(SUMIF('rates, dates, etc'!$R$420:$R$428,"Tuition (Fall)",'rates, dates, etc'!AA420:AA428))+
(SUMIF('rates, dates, etc'!$R$420:$R$428,"Tuition (Spring)",'rates, dates, etc'!AA420:AA428))+
(SUMIF('rates, dates, etc'!$R$420:$R$428,"Tuition (Summer)",'rates, dates, etc'!AA420:AA428))</f>
        <v>0</v>
      </c>
      <c r="X70" s="4">
        <f>(SUMIF('rates, dates, etc'!$R$420:$R$428,"Tuition (Fall)",'rates, dates, etc'!AB420:AB428))+
(SUMIF('rates, dates, etc'!$R$420:$R$428,"Tuition (Spring)",'rates, dates, etc'!AB420:AB428))+
(SUMIF('rates, dates, etc'!$R$420:$R$428,"Tuition (Summer)",'rates, dates, etc'!AB420:AB428))</f>
        <v>0</v>
      </c>
    </row>
    <row r="71" spans="14:26" x14ac:dyDescent="0.2">
      <c r="N71" s="3" t="s">
        <v>9</v>
      </c>
      <c r="O71" s="4">
        <f>(SUMIF('rates, dates, etc'!$R$420:$R$428,"Health Insurance (Fall)",'rates, dates, etc'!S420:S428))+
(SUMIF('rates, dates, etc'!$R$420:$R$428,"Health Insurance (Spring)",'rates, dates, etc'!S420:S428))+
(SUMIF('rates, dates, etc'!$R$420:$R$428,"Health Insurance (Summer)",'rates, dates, etc'!S420:S428))</f>
        <v>0</v>
      </c>
      <c r="P71" s="4">
        <f>(SUMIF('rates, dates, etc'!$R$420:$R$428,"Health Insurance (Fall)",'rates, dates, etc'!T420:T428))+
(SUMIF('rates, dates, etc'!$R$420:$R$428,"Health Insurance (Spring)",'rates, dates, etc'!T420:T428))+
(SUMIF('rates, dates, etc'!$R$420:$R$428,"Health Insurance (Summer)",'rates, dates, etc'!T420:T428))</f>
        <v>0</v>
      </c>
      <c r="Q71" s="4">
        <f>(SUMIF('rates, dates, etc'!$R$420:$R$428,"Health Insurance (Fall)",'rates, dates, etc'!U420:U428))+
(SUMIF('rates, dates, etc'!$R$420:$R$428,"Health Insurance (Spring)",'rates, dates, etc'!U420:U428))+
(SUMIF('rates, dates, etc'!$R$420:$R$428,"Health Insurance (Summer)",'rates, dates, etc'!U420:U428))</f>
        <v>0</v>
      </c>
      <c r="R71" s="4">
        <f>(SUMIF('rates, dates, etc'!$R$420:$R$428,"Health Insurance (Fall)",'rates, dates, etc'!V420:V428))+
(SUMIF('rates, dates, etc'!$R$420:$R$428,"Health Insurance (Spring)",'rates, dates, etc'!V420:V428))+
(SUMIF('rates, dates, etc'!$R$420:$R$428,"Health Insurance (Summer)",'rates, dates, etc'!V420:V428))</f>
        <v>0</v>
      </c>
      <c r="S71" s="4">
        <f>(SUMIF('rates, dates, etc'!$R$420:$R$428,"Health Insurance (Fall)",'rates, dates, etc'!W420:W428))+
(SUMIF('rates, dates, etc'!$R$420:$R$428,"Health Insurance (Spring)",'rates, dates, etc'!W420:W428))+
(SUMIF('rates, dates, etc'!$R$420:$R$428,"Health Insurance (Summer)",'rates, dates, etc'!W420:W428))</f>
        <v>0</v>
      </c>
      <c r="T71" s="4">
        <f>(SUMIF('rates, dates, etc'!$R$420:$R$428,"Health Insurance (Fall)",'rates, dates, etc'!X420:X428))+
(SUMIF('rates, dates, etc'!$R$420:$R$428,"Health Insurance (Spring)",'rates, dates, etc'!X420:X428))+
(SUMIF('rates, dates, etc'!$R$420:$R$428,"Health Insurance (Summer)",'rates, dates, etc'!X420:X428))</f>
        <v>0</v>
      </c>
      <c r="U71" s="4">
        <f>(SUMIF('rates, dates, etc'!$R$420:$R$428,"Health Insurance (Fall)",'rates, dates, etc'!Y420:Y428))+
(SUMIF('rates, dates, etc'!$R$420:$R$428,"Health Insurance (Spring)",'rates, dates, etc'!Y420:Y428))+
(SUMIF('rates, dates, etc'!$R$420:$R$428,"Health Insurance (Summer)",'rates, dates, etc'!Y420:Y428))</f>
        <v>0</v>
      </c>
      <c r="V71" s="4">
        <f>(SUMIF('rates, dates, etc'!$R$420:$R$428,"Health Insurance (Fall)",'rates, dates, etc'!Z420:Z428))+
(SUMIF('rates, dates, etc'!$R$420:$R$428,"Health Insurance (Spring)",'rates, dates, etc'!Z420:Z428))+
(SUMIF('rates, dates, etc'!$R$420:$R$428,"Health Insurance (Summer)",'rates, dates, etc'!Z420:Z428))</f>
        <v>0</v>
      </c>
      <c r="W71" s="4">
        <f>(SUMIF('rates, dates, etc'!$R$420:$R$428,"Health Insurance (Fall)",'rates, dates, etc'!AA420:AA428))+
(SUMIF('rates, dates, etc'!$R$420:$R$428,"Health Insurance (Spring)",'rates, dates, etc'!AA420:AA428))+
(SUMIF('rates, dates, etc'!$R$420:$R$428,"Health Insurance (Summer)",'rates, dates, etc'!AA420:AA428))</f>
        <v>0</v>
      </c>
      <c r="X71" s="4">
        <f>(SUMIF('rates, dates, etc'!$R$420:$R$428,"Health Insurance (Fall)",'rates, dates, etc'!AB420:AB428))+
(SUMIF('rates, dates, etc'!$R$420:$R$428,"Health Insurance (Spring)",'rates, dates, etc'!AB420:AB428))+
(SUMIF('rates, dates, etc'!$R$420:$R$428,"Health Insurance (Summer)",'rates, dates, etc'!AB420:AB428))</f>
        <v>0</v>
      </c>
    </row>
    <row r="72" spans="14:26" ht="12" thickBot="1" x14ac:dyDescent="0.25">
      <c r="N72" s="13" t="s">
        <v>31</v>
      </c>
      <c r="O72" s="16">
        <f>SUM(O68:O71)</f>
        <v>0</v>
      </c>
      <c r="P72" s="16">
        <f>SUM(P68:P71)</f>
        <v>0</v>
      </c>
      <c r="Q72" s="16">
        <f>SUM(Q68:Q71)</f>
        <v>0</v>
      </c>
      <c r="R72" s="16">
        <f>SUM(R68:R71)</f>
        <v>0</v>
      </c>
      <c r="S72" s="16">
        <f>SUM(S68:S71)</f>
        <v>0</v>
      </c>
      <c r="T72" s="16">
        <f t="shared" ref="T72:X72" si="53">SUM(T68:T71)</f>
        <v>0</v>
      </c>
      <c r="U72" s="16">
        <f t="shared" si="53"/>
        <v>0</v>
      </c>
      <c r="V72" s="16">
        <f t="shared" si="53"/>
        <v>0</v>
      </c>
      <c r="W72" s="16">
        <f t="shared" si="53"/>
        <v>0</v>
      </c>
      <c r="X72" s="16">
        <f t="shared" si="53"/>
        <v>0</v>
      </c>
    </row>
    <row r="76" spans="14:26" x14ac:dyDescent="0.2">
      <c r="N76" s="44" t="s">
        <v>33</v>
      </c>
    </row>
    <row r="77" spans="14:26" x14ac:dyDescent="0.2">
      <c r="N77" s="64" t="s">
        <v>103</v>
      </c>
      <c r="O77" s="65" t="str">
        <f>+'rates, dates, etc'!AE5</f>
        <v>FY2026</v>
      </c>
      <c r="P77" s="65" t="str">
        <f>+'rates, dates, etc'!AF5</f>
        <v>FY2027</v>
      </c>
      <c r="Q77" s="65" t="str">
        <f>+'rates, dates, etc'!AG5</f>
        <v>FY2028</v>
      </c>
      <c r="R77" s="65" t="str">
        <f>+'rates, dates, etc'!AH5</f>
        <v>FY2029</v>
      </c>
      <c r="S77" s="65" t="str">
        <f>+'rates, dates, etc'!AI5</f>
        <v>FY2030</v>
      </c>
      <c r="T77" s="65" t="str">
        <f>+'rates, dates, etc'!AJ5</f>
        <v>FY2031</v>
      </c>
      <c r="U77" s="65" t="str">
        <f>+'rates, dates, etc'!AK5</f>
        <v>FY2032</v>
      </c>
      <c r="V77" s="65" t="str">
        <f>+'rates, dates, etc'!AL5</f>
        <v>FY2033</v>
      </c>
      <c r="W77" s="65" t="str">
        <f>+'rates, dates, etc'!AM5</f>
        <v>FY2034</v>
      </c>
      <c r="X77" s="65" t="str">
        <f>+'rates, dates, etc'!AN5</f>
        <v>FY2035</v>
      </c>
      <c r="Y77" s="65" t="str">
        <f>+'rates, dates, etc'!AO5</f>
        <v>FY2036</v>
      </c>
      <c r="Z77" s="65"/>
    </row>
    <row r="78" spans="14:26" x14ac:dyDescent="0.2">
      <c r="N78" s="2" t="str">
        <f>+'rates, dates, etc'!A362</f>
        <v xml:space="preserve">   Endowed - Senior Personnel</v>
      </c>
      <c r="O78" s="9">
        <f>IF('rates, dates, etc'!B361='rates, dates, etc'!AE5,'rates, dates, etc'!B362,'rates, dates, etc'!C362)</f>
        <v>0.35</v>
      </c>
      <c r="P78" s="9">
        <f>IF('rates, dates, etc'!C361='rates, dates, etc'!AF5,'rates, dates, etc'!C362,'rates, dates, etc'!D362)</f>
        <v>0.35499999999999998</v>
      </c>
      <c r="Q78" s="9">
        <f>IF('rates, dates, etc'!D361='rates, dates, etc'!AG5,'rates, dates, etc'!D362,'rates, dates, etc'!E362)</f>
        <v>0.37</v>
      </c>
      <c r="R78" s="9">
        <f>IF('rates, dates, etc'!E361='rates, dates, etc'!AH5,'rates, dates, etc'!E362,'rates, dates, etc'!F362)</f>
        <v>0.37</v>
      </c>
      <c r="S78" s="9">
        <f>IF('rates, dates, etc'!F361='rates, dates, etc'!AI5,'rates, dates, etc'!F362,'rates, dates, etc'!G362)</f>
        <v>0.37</v>
      </c>
      <c r="T78" s="9">
        <f>IF('rates, dates, etc'!G361='rates, dates, etc'!AJ5,'rates, dates, etc'!G362,'rates, dates, etc'!H362)</f>
        <v>0.37</v>
      </c>
      <c r="U78" s="9">
        <f>IF('rates, dates, etc'!H361='rates, dates, etc'!AK5,'rates, dates, etc'!H362,'rates, dates, etc'!I362)</f>
        <v>0.37</v>
      </c>
      <c r="V78" s="9">
        <f>IF('rates, dates, etc'!I361='rates, dates, etc'!AL5,'rates, dates, etc'!I362,'rates, dates, etc'!J362)</f>
        <v>0.37</v>
      </c>
      <c r="W78" s="9">
        <f>IF('rates, dates, etc'!J361='rates, dates, etc'!AM5,'rates, dates, etc'!J362,'rates, dates, etc'!K362)</f>
        <v>0.37</v>
      </c>
      <c r="X78" s="9">
        <f>IF('rates, dates, etc'!K361='rates, dates, etc'!AN5,'rates, dates, etc'!K362,'rates, dates, etc'!L362)</f>
        <v>0.37</v>
      </c>
      <c r="Y78" s="9">
        <f>IF('rates, dates, etc'!L361='rates, dates, etc'!AO5,'rates, dates, etc'!L362,'rates, dates, etc'!M362)</f>
        <v>0.37</v>
      </c>
      <c r="Z78" s="9"/>
    </row>
    <row r="79" spans="14:26" x14ac:dyDescent="0.2">
      <c r="O79" s="1"/>
      <c r="P79" s="1"/>
    </row>
    <row r="80" spans="14:26" x14ac:dyDescent="0.2">
      <c r="N80" s="64" t="s">
        <v>104</v>
      </c>
      <c r="O80" s="45" t="str">
        <f>+'rates, dates, etc'!AE4</f>
        <v>FY2025</v>
      </c>
      <c r="P80" s="45" t="str">
        <f>+'rates, dates, etc'!AF4</f>
        <v>FY2026</v>
      </c>
      <c r="Q80" s="45" t="str">
        <f>+'rates, dates, etc'!AG4</f>
        <v>FY2027</v>
      </c>
      <c r="R80" s="45" t="str">
        <f>+'rates, dates, etc'!AH4</f>
        <v>FY2028</v>
      </c>
      <c r="S80" s="45" t="str">
        <f>+'rates, dates, etc'!AI4</f>
        <v>FY2029</v>
      </c>
      <c r="T80" s="45" t="str">
        <f>+'rates, dates, etc'!AJ4</f>
        <v>FY2030</v>
      </c>
      <c r="U80" s="45" t="str">
        <f>+'rates, dates, etc'!AK4</f>
        <v>FY2031</v>
      </c>
      <c r="V80" s="45" t="str">
        <f>+'rates, dates, etc'!AL4</f>
        <v>FY2032</v>
      </c>
      <c r="W80" s="45" t="str">
        <f>+'rates, dates, etc'!AM4</f>
        <v>FY2033</v>
      </c>
      <c r="X80" s="45" t="str">
        <f>+'rates, dates, etc'!AN4</f>
        <v>FY2034</v>
      </c>
      <c r="Y80" s="45" t="str">
        <f>+'rates, dates, etc'!AO4</f>
        <v>FY2035</v>
      </c>
      <c r="Z80" s="45" t="str">
        <f>+'rates, dates, etc'!AP4</f>
        <v>FY2036</v>
      </c>
    </row>
    <row r="81" spans="14:26" x14ac:dyDescent="0.2">
      <c r="N81" s="2" t="str">
        <f>+'rates, dates, etc'!A362</f>
        <v xml:space="preserve">   Endowed - Senior Personnel</v>
      </c>
      <c r="O81" s="123">
        <f>+'rates, dates, etc'!B362</f>
        <v>0.35</v>
      </c>
      <c r="P81" s="123">
        <f>+'rates, dates, etc'!C362</f>
        <v>0.35</v>
      </c>
      <c r="Q81" s="123">
        <f>+'rates, dates, etc'!D362</f>
        <v>0.35499999999999998</v>
      </c>
      <c r="R81" s="123">
        <f>+'rates, dates, etc'!E362</f>
        <v>0.37</v>
      </c>
      <c r="S81" s="123">
        <f>+'rates, dates, etc'!F362</f>
        <v>0.37</v>
      </c>
      <c r="T81" s="123">
        <f>+'rates, dates, etc'!G362</f>
        <v>0.37</v>
      </c>
      <c r="U81" s="123">
        <f>+'rates, dates, etc'!H362</f>
        <v>0.37</v>
      </c>
      <c r="V81" s="123">
        <f>+'rates, dates, etc'!I362</f>
        <v>0.37</v>
      </c>
      <c r="W81" s="123">
        <f>+'rates, dates, etc'!J362</f>
        <v>0.37</v>
      </c>
      <c r="X81" s="123">
        <f>+'rates, dates, etc'!K362</f>
        <v>0.37</v>
      </c>
      <c r="Y81" s="123">
        <f>+'rates, dates, etc'!L362</f>
        <v>0.37</v>
      </c>
      <c r="Z81" s="123">
        <f>+'rates, dates, etc'!M362</f>
        <v>0.37</v>
      </c>
    </row>
    <row r="82" spans="14:26" x14ac:dyDescent="0.2">
      <c r="N82" s="2" t="str">
        <f>+'rates, dates, etc'!A363</f>
        <v xml:space="preserve">   Endowed - Post Doc</v>
      </c>
      <c r="O82" s="123">
        <f>+'rates, dates, etc'!B363</f>
        <v>0.35</v>
      </c>
      <c r="P82" s="123">
        <f>+'rates, dates, etc'!C363</f>
        <v>0.35</v>
      </c>
      <c r="Q82" s="123">
        <f>+'rates, dates, etc'!D363</f>
        <v>0.35499999999999998</v>
      </c>
      <c r="R82" s="123">
        <f>+'rates, dates, etc'!E363</f>
        <v>0.37</v>
      </c>
      <c r="S82" s="123">
        <f>+'rates, dates, etc'!F363</f>
        <v>0.37</v>
      </c>
      <c r="T82" s="123">
        <f>+'rates, dates, etc'!G363</f>
        <v>0.37</v>
      </c>
      <c r="U82" s="123">
        <f>+'rates, dates, etc'!H363</f>
        <v>0.37</v>
      </c>
      <c r="V82" s="123">
        <f>+'rates, dates, etc'!I363</f>
        <v>0.37</v>
      </c>
      <c r="W82" s="123">
        <f>+'rates, dates, etc'!J363</f>
        <v>0.37</v>
      </c>
      <c r="X82" s="123">
        <f>+'rates, dates, etc'!K363</f>
        <v>0.37</v>
      </c>
      <c r="Y82" s="123">
        <f>+'rates, dates, etc'!L363</f>
        <v>0.37</v>
      </c>
      <c r="Z82" s="123">
        <f>+'rates, dates, etc'!M363</f>
        <v>0.37</v>
      </c>
    </row>
    <row r="83" spans="14:26" x14ac:dyDescent="0.2">
      <c r="N83" s="2" t="str">
        <f>+'rates, dates, etc'!A364</f>
        <v xml:space="preserve">   Endowed - Other Employee</v>
      </c>
      <c r="O83" s="123">
        <f>+'rates, dates, etc'!B364</f>
        <v>0.35</v>
      </c>
      <c r="P83" s="123">
        <f>+'rates, dates, etc'!C364</f>
        <v>0.35</v>
      </c>
      <c r="Q83" s="123">
        <f>+'rates, dates, etc'!D364</f>
        <v>0.35499999999999998</v>
      </c>
      <c r="R83" s="123">
        <f>+'rates, dates, etc'!E364</f>
        <v>0.37</v>
      </c>
      <c r="S83" s="123">
        <f>+'rates, dates, etc'!F364</f>
        <v>0.37</v>
      </c>
      <c r="T83" s="123">
        <f>+'rates, dates, etc'!G364</f>
        <v>0.37</v>
      </c>
      <c r="U83" s="123">
        <f>+'rates, dates, etc'!H364</f>
        <v>0.37</v>
      </c>
      <c r="V83" s="123">
        <f>+'rates, dates, etc'!I364</f>
        <v>0.37</v>
      </c>
      <c r="W83" s="123">
        <f>+'rates, dates, etc'!J364</f>
        <v>0.37</v>
      </c>
      <c r="X83" s="123">
        <f>+'rates, dates, etc'!K364</f>
        <v>0.37</v>
      </c>
      <c r="Y83" s="123">
        <f>+'rates, dates, etc'!L364</f>
        <v>0.37</v>
      </c>
      <c r="Z83" s="123">
        <f>+'rates, dates, etc'!M364</f>
        <v>0.37</v>
      </c>
    </row>
    <row r="85" spans="14:26" x14ac:dyDescent="0.2">
      <c r="N85" s="64" t="str">
        <f>+'rates, dates, etc'!A42</f>
        <v/>
      </c>
      <c r="O85" s="1" t="str">
        <f>+'rates, dates, etc'!B42</f>
        <v/>
      </c>
      <c r="P85" s="1" t="str">
        <f>+'rates, dates, etc'!C42</f>
        <v/>
      </c>
      <c r="Q85" s="1" t="str">
        <f>+'rates, dates, etc'!D42</f>
        <v/>
      </c>
      <c r="R85" s="1" t="str">
        <f>+'rates, dates, etc'!E42</f>
        <v/>
      </c>
      <c r="S85" s="1" t="str">
        <f>+'rates, dates, etc'!F42</f>
        <v/>
      </c>
      <c r="T85" s="1" t="str">
        <f>+'rates, dates, etc'!G42</f>
        <v/>
      </c>
      <c r="U85" s="1" t="str">
        <f>+'rates, dates, etc'!H42</f>
        <v/>
      </c>
      <c r="V85" s="1" t="str">
        <f>+'rates, dates, etc'!I42</f>
        <v/>
      </c>
      <c r="W85" s="1" t="str">
        <f>+'rates, dates, etc'!J42</f>
        <v/>
      </c>
      <c r="X85" s="1" t="str">
        <f>+'rates, dates, etc'!K42</f>
        <v/>
      </c>
      <c r="Y85" s="1" t="str">
        <f>+'rates, dates, etc'!L42</f>
        <v/>
      </c>
      <c r="Z85" s="1" t="str">
        <f>+'rates, dates, etc'!M42</f>
        <v/>
      </c>
    </row>
    <row r="86" spans="14:26" x14ac:dyDescent="0.2">
      <c r="N86" s="64" t="str">
        <f>+'rates, dates, etc'!A365</f>
        <v>Cornell IDC Rate - Endowed College</v>
      </c>
      <c r="O86" s="1">
        <f>+'rates, dates, etc'!B365</f>
        <v>0.64</v>
      </c>
      <c r="P86" s="1">
        <f>+'rates, dates, etc'!C365</f>
        <v>0.64</v>
      </c>
      <c r="Q86" s="1">
        <f>+'rates, dates, etc'!D365</f>
        <v>0.64</v>
      </c>
      <c r="R86" s="1">
        <f>+'rates, dates, etc'!E365</f>
        <v>0.64</v>
      </c>
      <c r="S86" s="1">
        <f>+'rates, dates, etc'!F365</f>
        <v>0.64</v>
      </c>
      <c r="T86" s="1">
        <f>+'rates, dates, etc'!G365</f>
        <v>0.64</v>
      </c>
      <c r="U86" s="1">
        <f>+'rates, dates, etc'!H365</f>
        <v>0.64</v>
      </c>
      <c r="V86" s="1">
        <f>+'rates, dates, etc'!I365</f>
        <v>0.64</v>
      </c>
      <c r="W86" s="1">
        <f>+'rates, dates, etc'!J365</f>
        <v>0.64</v>
      </c>
      <c r="X86" s="1">
        <f>+'rates, dates, etc'!K365</f>
        <v>0.64</v>
      </c>
      <c r="Y86" s="1">
        <f>+'rates, dates, etc'!L365</f>
        <v>0.64</v>
      </c>
      <c r="Z86" s="1">
        <f>+'rates, dates, etc'!M365</f>
        <v>0.64</v>
      </c>
    </row>
    <row r="87" spans="14:26" x14ac:dyDescent="0.2">
      <c r="S87" s="5"/>
      <c r="T87" s="5"/>
    </row>
    <row r="88" spans="14:26" x14ac:dyDescent="0.2">
      <c r="N88" s="47" t="str">
        <f>+'rates, dates, etc'!O40</f>
        <v>Pro-rating factor for 12 month appts.:</v>
      </c>
      <c r="O88" s="9" t="s">
        <v>36</v>
      </c>
      <c r="P88" s="9" t="s">
        <v>52</v>
      </c>
      <c r="S88" s="5"/>
      <c r="T88" s="5"/>
    </row>
    <row r="89" spans="14:26" x14ac:dyDescent="0.2">
      <c r="N89" s="48" t="s">
        <v>46</v>
      </c>
      <c r="O89" s="44">
        <f>+'rates, dates, etc'!P41</f>
        <v>6</v>
      </c>
      <c r="P89" s="44">
        <f>+'rates, dates, etc'!Q41</f>
        <v>0.5</v>
      </c>
      <c r="S89" s="5"/>
      <c r="T89" s="5"/>
    </row>
    <row r="90" spans="14:26" x14ac:dyDescent="0.2">
      <c r="N90" s="48" t="s">
        <v>47</v>
      </c>
      <c r="O90" s="44">
        <f>+'rates, dates, etc'!P42</f>
        <v>6</v>
      </c>
      <c r="P90" s="44">
        <f>+'rates, dates, etc'!Q42</f>
        <v>0.5</v>
      </c>
    </row>
    <row r="91" spans="14:26" x14ac:dyDescent="0.2">
      <c r="N91" s="46"/>
      <c r="O91" s="49">
        <f>SUM(O89:O90)</f>
        <v>12</v>
      </c>
      <c r="P91" s="1" t="s">
        <v>83</v>
      </c>
    </row>
    <row r="92" spans="14:26" x14ac:dyDescent="0.2">
      <c r="N92" s="1"/>
      <c r="O92" s="1"/>
      <c r="P92" s="1"/>
    </row>
    <row r="93" spans="14:26" x14ac:dyDescent="0.2">
      <c r="N93" s="1"/>
      <c r="O93" s="1"/>
      <c r="P93" s="1"/>
    </row>
    <row r="94" spans="14:26" x14ac:dyDescent="0.2">
      <c r="N94" s="1"/>
      <c r="O94" s="1"/>
      <c r="P94" s="1"/>
    </row>
  </sheetData>
  <pageMargins left="0.75" right="0.53" top="0.7" bottom="0.64" header="0.5" footer="0.5"/>
  <pageSetup scale="95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2318477A-D934-40C3-AF23-73BCAABDBA2E}">
            <xm:f>'rates, dates, etc'!$B$8="Yes"</xm:f>
            <x14:dxf/>
          </x14:cfRule>
          <x14:cfRule type="expression" priority="2" id="{12EB2368-D012-4863-9BDF-A5B26530D6EE}">
            <xm:f>'Budget Summary'!$L$103&lt;'Budget Summary'!$L$104</xm:f>
            <x14:dxf>
              <font>
                <color rgb="FFFF0000"/>
              </font>
            </x14:dxf>
          </x14:cfRule>
          <xm:sqref>A63:L63</xm:sqref>
        </x14:conditionalFormatting>
        <x14:conditionalFormatting xmlns:xm="http://schemas.microsoft.com/office/excel/2006/main">
          <x14:cfRule type="expression" priority="3" stopIfTrue="1" id="{7B40B475-70F1-4960-89D6-75EBFA13E9C3}">
            <xm:f>'rates, dates, etc'!$B$8="Yes"</xm:f>
            <x14:dxf>
              <font>
                <color rgb="FFFF0000"/>
              </font>
            </x14:dxf>
          </x14:cfRule>
          <x14:cfRule type="expression" priority="4" id="{3D35D453-3254-4BA9-9095-0F29D9C3C534}">
            <xm:f>'Budget Summary'!$L$104&lt;'Budget Summary'!$L$103</xm:f>
            <x14:dxf>
              <font>
                <color rgb="FFFF0000"/>
              </font>
            </x14:dxf>
          </x14:cfRule>
          <xm:sqref>A64:L64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Z92"/>
  <sheetViews>
    <sheetView topLeftCell="A24" zoomScale="130" zoomScaleNormal="130" workbookViewId="0">
      <selection activeCell="A47" sqref="A47"/>
    </sheetView>
  </sheetViews>
  <sheetFormatPr defaultColWidth="9.140625" defaultRowHeight="11.25" x14ac:dyDescent="0.2"/>
  <cols>
    <col min="1" max="1" width="33.42578125" style="1" customWidth="1"/>
    <col min="2" max="11" width="8.42578125" style="1" customWidth="1"/>
    <col min="12" max="12" width="9.5703125" style="2" bestFit="1" customWidth="1"/>
    <col min="13" max="13" width="11" style="2" customWidth="1"/>
    <col min="14" max="14" width="29.140625" style="2" customWidth="1"/>
    <col min="15" max="16" width="9.85546875" style="2" customWidth="1"/>
    <col min="17" max="18" width="9.7109375" style="1" customWidth="1"/>
    <col min="19" max="16384" width="9.140625" style="1"/>
  </cols>
  <sheetData>
    <row r="1" spans="1:13" ht="12.75" x14ac:dyDescent="0.2">
      <c r="A1" s="67">
        <f>+'rates, dates, etc'!B4</f>
        <v>0</v>
      </c>
      <c r="D1" s="56"/>
    </row>
    <row r="2" spans="1:13" ht="12.75" x14ac:dyDescent="0.2">
      <c r="A2" s="67" t="str">
        <f>+'rates, dates, etc'!B3</f>
        <v>NSF</v>
      </c>
      <c r="M2" s="56"/>
    </row>
    <row r="3" spans="1:13" ht="12.75" customHeight="1" thickBot="1" x14ac:dyDescent="0.25"/>
    <row r="4" spans="1:13" x14ac:dyDescent="0.2">
      <c r="A4" s="68" t="str">
        <f ca="1">CONCATENATE("Cornell University - ",'rates, dates, etc'!A19)</f>
        <v>Cornell University - Co-PI Budget (5)</v>
      </c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242"/>
    </row>
    <row r="5" spans="1:13" ht="12" thickBot="1" x14ac:dyDescent="0.25">
      <c r="A5" s="68" t="str">
        <f>CONCATENATE("Co-PI: ",'rates, dates, etc'!B19)</f>
        <v>Co-PI: Co-PI</v>
      </c>
      <c r="B5" s="243">
        <f>+'rates, dates, etc'!B5</f>
        <v>45658</v>
      </c>
      <c r="C5" s="243">
        <f>+B6+1</f>
        <v>46023</v>
      </c>
      <c r="D5" s="243">
        <f t="shared" ref="D5:G5" si="0">+C6+1</f>
        <v>46388</v>
      </c>
      <c r="E5" s="243">
        <f t="shared" si="0"/>
        <v>46753</v>
      </c>
      <c r="F5" s="243">
        <f t="shared" si="0"/>
        <v>47119</v>
      </c>
      <c r="G5" s="243">
        <f t="shared" si="0"/>
        <v>47484</v>
      </c>
      <c r="H5" s="243">
        <f t="shared" ref="H5" si="1">+G6+1</f>
        <v>47849</v>
      </c>
      <c r="I5" s="243">
        <f t="shared" ref="I5" si="2">+H6+1</f>
        <v>48214</v>
      </c>
      <c r="J5" s="243">
        <f t="shared" ref="J5" si="3">+I6+1</f>
        <v>48580</v>
      </c>
      <c r="K5" s="243">
        <f t="shared" ref="K5" si="4">+J6+1</f>
        <v>48945</v>
      </c>
      <c r="L5" s="244"/>
    </row>
    <row r="6" spans="1:13" ht="12" thickBot="1" x14ac:dyDescent="0.25">
      <c r="A6" s="71" t="s">
        <v>4</v>
      </c>
      <c r="B6" s="245">
        <f>DATE(YEAR(B5), MONTH(B5) + 12, DAY(B5))-1</f>
        <v>46022</v>
      </c>
      <c r="C6" s="245">
        <f t="shared" ref="C6:G6" si="5">DATE(YEAR(C5), MONTH(C5) + 12, DAY(C5))-1</f>
        <v>46387</v>
      </c>
      <c r="D6" s="245">
        <f t="shared" si="5"/>
        <v>46752</v>
      </c>
      <c r="E6" s="245">
        <f t="shared" si="5"/>
        <v>47118</v>
      </c>
      <c r="F6" s="245">
        <f t="shared" si="5"/>
        <v>47483</v>
      </c>
      <c r="G6" s="245">
        <f t="shared" si="5"/>
        <v>47848</v>
      </c>
      <c r="H6" s="245">
        <f t="shared" ref="H6:K6" si="6">DATE(YEAR(H5), MONTH(H5) + 12, DAY(H5))-1</f>
        <v>48213</v>
      </c>
      <c r="I6" s="245">
        <f t="shared" si="6"/>
        <v>48579</v>
      </c>
      <c r="J6" s="245">
        <f t="shared" si="6"/>
        <v>48944</v>
      </c>
      <c r="K6" s="245">
        <f t="shared" si="6"/>
        <v>49309</v>
      </c>
      <c r="L6" s="262" t="s">
        <v>5</v>
      </c>
    </row>
    <row r="7" spans="1:13" x14ac:dyDescent="0.2">
      <c r="A7" s="74" t="s">
        <v>111</v>
      </c>
      <c r="L7" s="8" t="s">
        <v>6</v>
      </c>
    </row>
    <row r="8" spans="1:13" x14ac:dyDescent="0.2">
      <c r="A8" s="3" t="str">
        <f>+'rates, dates, etc'!A453</f>
        <v>Co-PI</v>
      </c>
      <c r="B8" s="17">
        <f>HLOOKUP(B$4,'rates, dates, etc'!B452:I458,7,FALSE)</f>
        <v>0</v>
      </c>
      <c r="C8" s="17">
        <f>HLOOKUP(C$4,'rates, dates, etc'!C452:O458,7,FALSE)</f>
        <v>0</v>
      </c>
      <c r="D8" s="17">
        <f>HLOOKUP(D$4,'rates, dates, etc'!D452:P458,7,FALSE)</f>
        <v>0</v>
      </c>
      <c r="E8" s="17">
        <f>HLOOKUP(E$4,'rates, dates, etc'!E452:Q458,7,FALSE)</f>
        <v>0</v>
      </c>
      <c r="F8" s="17">
        <f>HLOOKUP(F$4,'rates, dates, etc'!F452:R458,7,FALSE)</f>
        <v>0</v>
      </c>
      <c r="G8" s="17">
        <f>HLOOKUP(G$4,'rates, dates, etc'!G452:S458,7,FALSE)</f>
        <v>0</v>
      </c>
      <c r="H8" s="17">
        <f>HLOOKUP(H$4,'rates, dates, etc'!H452:T458,7,FALSE)</f>
        <v>0</v>
      </c>
      <c r="I8" s="17">
        <f>HLOOKUP(I$4,'rates, dates, etc'!I452:U458,7,FALSE)</f>
        <v>0</v>
      </c>
      <c r="J8" s="17">
        <f>HLOOKUP(J$4,'rates, dates, etc'!J452:V458,7,FALSE)</f>
        <v>0</v>
      </c>
      <c r="K8" s="17">
        <f>HLOOKUP(K$4,'rates, dates, etc'!K452:W458,7,FALSE)</f>
        <v>0</v>
      </c>
      <c r="L8" s="83">
        <f>SUM(B8:K8)</f>
        <v>0</v>
      </c>
    </row>
    <row r="9" spans="1:13" x14ac:dyDescent="0.2">
      <c r="A9" s="3" t="str">
        <f>+'rates, dates, etc'!A461</f>
        <v>Co-PI</v>
      </c>
      <c r="B9" s="17">
        <f>HLOOKUP(B$4,'rates, dates, etc'!B460:I466,7,FALSE)</f>
        <v>0</v>
      </c>
      <c r="C9" s="17">
        <f>HLOOKUP(C$4,'rates, dates, etc'!C460:O466,7,FALSE)</f>
        <v>0</v>
      </c>
      <c r="D9" s="17">
        <f>HLOOKUP(D$4,'rates, dates, etc'!D460:P466,7,FALSE)</f>
        <v>0</v>
      </c>
      <c r="E9" s="17">
        <f>HLOOKUP(E$4,'rates, dates, etc'!E460:Q466,7,FALSE)</f>
        <v>0</v>
      </c>
      <c r="F9" s="17">
        <f>HLOOKUP(F$4,'rates, dates, etc'!F460:R466,7,FALSE)</f>
        <v>0</v>
      </c>
      <c r="G9" s="17">
        <f>HLOOKUP(G$4,'rates, dates, etc'!G460:S466,7,FALSE)</f>
        <v>0</v>
      </c>
      <c r="H9" s="17">
        <f>HLOOKUP(H$4,'rates, dates, etc'!H460:T466,7,FALSE)</f>
        <v>0</v>
      </c>
      <c r="I9" s="17">
        <f>HLOOKUP(I$4,'rates, dates, etc'!I460:U466,7,FALSE)</f>
        <v>0</v>
      </c>
      <c r="J9" s="17">
        <f>HLOOKUP(J$4,'rates, dates, etc'!J460:V466,7,FALSE)</f>
        <v>0</v>
      </c>
      <c r="K9" s="17">
        <f>HLOOKUP(K$4,'rates, dates, etc'!K460:W466,7,FALSE)</f>
        <v>0</v>
      </c>
      <c r="L9" s="83">
        <f t="shared" ref="L9:L10" si="7">SUM(B9:K9)</f>
        <v>0</v>
      </c>
    </row>
    <row r="10" spans="1:13" x14ac:dyDescent="0.2">
      <c r="A10" s="3" t="str">
        <f>+'rates, dates, etc'!A469</f>
        <v>Co-PI</v>
      </c>
      <c r="B10" s="17">
        <f>HLOOKUP(B$4,'rates, dates, etc'!B468:I474,7,FALSE)</f>
        <v>0</v>
      </c>
      <c r="C10" s="17">
        <f>HLOOKUP(C$4,'rates, dates, etc'!C468:O474,7,FALSE)</f>
        <v>0</v>
      </c>
      <c r="D10" s="17">
        <f>HLOOKUP(D$4,'rates, dates, etc'!D468:P474,7,FALSE)</f>
        <v>0</v>
      </c>
      <c r="E10" s="17">
        <f>HLOOKUP(E$4,'rates, dates, etc'!E468:Q474,7,FALSE)</f>
        <v>0</v>
      </c>
      <c r="F10" s="17">
        <f>HLOOKUP(F$4,'rates, dates, etc'!F468:R474,7,FALSE)</f>
        <v>0</v>
      </c>
      <c r="G10" s="17">
        <f>HLOOKUP(G$4,'rates, dates, etc'!G468:S474,7,FALSE)</f>
        <v>0</v>
      </c>
      <c r="H10" s="17">
        <f>HLOOKUP(H$4,'rates, dates, etc'!H468:T474,7,FALSE)</f>
        <v>0</v>
      </c>
      <c r="I10" s="17">
        <f>HLOOKUP(I$4,'rates, dates, etc'!I468:U474,7,FALSE)</f>
        <v>0</v>
      </c>
      <c r="J10" s="17">
        <f>HLOOKUP(J$4,'rates, dates, etc'!J468:V474,7,FALSE)</f>
        <v>0</v>
      </c>
      <c r="K10" s="17">
        <f>HLOOKUP(K$4,'rates, dates, etc'!K468:W474,7,FALSE)</f>
        <v>0</v>
      </c>
      <c r="L10" s="83">
        <f t="shared" si="7"/>
        <v>0</v>
      </c>
    </row>
    <row r="11" spans="1:13" ht="12" thickBot="1" x14ac:dyDescent="0.25">
      <c r="A11" s="76" t="str">
        <f>CONCATENATE("Total ",A7)</f>
        <v>Total Senior Personnel Salary</v>
      </c>
      <c r="B11" s="6">
        <f>SUM(B7:B10)</f>
        <v>0</v>
      </c>
      <c r="C11" s="6">
        <f t="shared" ref="C11:F11" si="8">SUM(C7:C10)</f>
        <v>0</v>
      </c>
      <c r="D11" s="6">
        <f t="shared" si="8"/>
        <v>0</v>
      </c>
      <c r="E11" s="6">
        <f t="shared" si="8"/>
        <v>0</v>
      </c>
      <c r="F11" s="6">
        <f t="shared" si="8"/>
        <v>0</v>
      </c>
      <c r="G11" s="6">
        <f t="shared" ref="G11:K11" si="9">SUM(G7:G10)</f>
        <v>0</v>
      </c>
      <c r="H11" s="6">
        <f t="shared" si="9"/>
        <v>0</v>
      </c>
      <c r="I11" s="6">
        <f t="shared" si="9"/>
        <v>0</v>
      </c>
      <c r="J11" s="6">
        <f t="shared" si="9"/>
        <v>0</v>
      </c>
      <c r="K11" s="6">
        <f t="shared" si="9"/>
        <v>0</v>
      </c>
      <c r="L11" s="86">
        <f>SUM(L7:L10)</f>
        <v>0</v>
      </c>
    </row>
    <row r="12" spans="1:13" x14ac:dyDescent="0.2">
      <c r="A12" s="75" t="s">
        <v>112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83"/>
    </row>
    <row r="13" spans="1:13" x14ac:dyDescent="0.2">
      <c r="A13" s="3" t="str">
        <f>+'rates, dates, etc'!A477</f>
        <v>Post Doctoral Scholar(s)</v>
      </c>
      <c r="B13" s="5">
        <f>HLOOKUP(B$4,'rates, dates, etc'!B476:I481,6,FALSE)</f>
        <v>0</v>
      </c>
      <c r="C13" s="5">
        <f>HLOOKUP(C$4,'rates, dates, etc'!C476:O481,6,FALSE)</f>
        <v>0</v>
      </c>
      <c r="D13" s="5">
        <f>HLOOKUP(D$4,'rates, dates, etc'!D476:P481,6,FALSE)</f>
        <v>0</v>
      </c>
      <c r="E13" s="5">
        <f>HLOOKUP(E$4,'rates, dates, etc'!E476:Q481,6,FALSE)</f>
        <v>0</v>
      </c>
      <c r="F13" s="5">
        <f>HLOOKUP(F$4,'rates, dates, etc'!F476:R481,6,FALSE)</f>
        <v>0</v>
      </c>
      <c r="G13" s="5">
        <f>HLOOKUP(G$4,'rates, dates, etc'!G476:S481,6,FALSE)</f>
        <v>0</v>
      </c>
      <c r="H13" s="5">
        <f>HLOOKUP(H$4,'rates, dates, etc'!H476:T481,6,FALSE)</f>
        <v>0</v>
      </c>
      <c r="I13" s="5">
        <f>HLOOKUP(I$4,'rates, dates, etc'!I476:U481,6,FALSE)</f>
        <v>0</v>
      </c>
      <c r="J13" s="5">
        <f>HLOOKUP(J$4,'rates, dates, etc'!J476:V481,6,FALSE)</f>
        <v>0</v>
      </c>
      <c r="K13" s="5">
        <f>HLOOKUP(K$4,'rates, dates, etc'!K476:W481,6,FALSE)</f>
        <v>0</v>
      </c>
      <c r="L13" s="83">
        <f>SUM(B13:K13)</f>
        <v>0</v>
      </c>
    </row>
    <row r="14" spans="1:13" x14ac:dyDescent="0.2">
      <c r="A14" s="3" t="str">
        <f>+'rates, dates, etc'!A484</f>
        <v>Other Professional(s) (Technicians, etc)</v>
      </c>
      <c r="B14" s="5">
        <f>HLOOKUP(B$4,'rates, dates, etc'!B483:I488,6,FALSE)</f>
        <v>0</v>
      </c>
      <c r="C14" s="5">
        <f>HLOOKUP(C$4,'rates, dates, etc'!C483:O488,6,FALSE)</f>
        <v>0</v>
      </c>
      <c r="D14" s="5">
        <f>HLOOKUP(D$4,'rates, dates, etc'!D483:P488,6,FALSE)</f>
        <v>0</v>
      </c>
      <c r="E14" s="5">
        <f>HLOOKUP(E$4,'rates, dates, etc'!E483:Q488,6,FALSE)</f>
        <v>0</v>
      </c>
      <c r="F14" s="5">
        <f>HLOOKUP(F$4,'rates, dates, etc'!F483:R488,6,FALSE)</f>
        <v>0</v>
      </c>
      <c r="G14" s="5">
        <f>HLOOKUP(G$4,'rates, dates, etc'!G483:S488,6,FALSE)</f>
        <v>0</v>
      </c>
      <c r="H14" s="5">
        <f>HLOOKUP(H$4,'rates, dates, etc'!H483:T488,6,FALSE)</f>
        <v>0</v>
      </c>
      <c r="I14" s="5">
        <f>HLOOKUP(I$4,'rates, dates, etc'!I483:U488,6,FALSE)</f>
        <v>0</v>
      </c>
      <c r="J14" s="5">
        <f>HLOOKUP(J$4,'rates, dates, etc'!J483:V488,6,FALSE)</f>
        <v>0</v>
      </c>
      <c r="K14" s="5">
        <f>HLOOKUP(K$4,'rates, dates, etc'!K483:W488,6,FALSE)</f>
        <v>0</v>
      </c>
      <c r="L14" s="83">
        <f t="shared" ref="L14:L18" si="10">SUM(B14:K14)</f>
        <v>0</v>
      </c>
    </row>
    <row r="15" spans="1:13" x14ac:dyDescent="0.2">
      <c r="A15" s="3" t="str">
        <f>+'rates, dates, etc'!A490</f>
        <v>Graduate Student(s)</v>
      </c>
      <c r="B15" s="5">
        <f>O68+O69</f>
        <v>0</v>
      </c>
      <c r="C15" s="5">
        <f t="shared" ref="C15:F15" si="11">P68+P69</f>
        <v>0</v>
      </c>
      <c r="D15" s="5">
        <f t="shared" si="11"/>
        <v>0</v>
      </c>
      <c r="E15" s="5">
        <f t="shared" si="11"/>
        <v>0</v>
      </c>
      <c r="F15" s="5">
        <f t="shared" si="11"/>
        <v>0</v>
      </c>
      <c r="G15" s="5">
        <f t="shared" ref="G15" si="12">T68+T69</f>
        <v>0</v>
      </c>
      <c r="H15" s="5">
        <f t="shared" ref="H15" si="13">U68+U69</f>
        <v>0</v>
      </c>
      <c r="I15" s="5">
        <f t="shared" ref="I15" si="14">V68+V69</f>
        <v>0</v>
      </c>
      <c r="J15" s="5">
        <f t="shared" ref="J15" si="15">W68+W69</f>
        <v>0</v>
      </c>
      <c r="K15" s="5">
        <f t="shared" ref="K15" si="16">X68+X69</f>
        <v>0</v>
      </c>
      <c r="L15" s="83">
        <f t="shared" si="10"/>
        <v>0</v>
      </c>
    </row>
    <row r="16" spans="1:13" x14ac:dyDescent="0.2">
      <c r="A16" s="3" t="str">
        <f>+'rates, dates, etc'!A495</f>
        <v>Undergraduate Student(s)</v>
      </c>
      <c r="B16" s="5">
        <f>+'rates, dates, etc'!B503</f>
        <v>0</v>
      </c>
      <c r="C16" s="5">
        <f>+'rates, dates, etc'!C503</f>
        <v>0</v>
      </c>
      <c r="D16" s="5">
        <f>+'rates, dates, etc'!D503</f>
        <v>0</v>
      </c>
      <c r="E16" s="5">
        <f>+'rates, dates, etc'!E503</f>
        <v>0</v>
      </c>
      <c r="F16" s="5">
        <f>+'rates, dates, etc'!F503</f>
        <v>0</v>
      </c>
      <c r="G16" s="5">
        <f>+'rates, dates, etc'!G503</f>
        <v>0</v>
      </c>
      <c r="H16" s="5">
        <f>+'rates, dates, etc'!H503</f>
        <v>0</v>
      </c>
      <c r="I16" s="5">
        <f>+'rates, dates, etc'!I503</f>
        <v>0</v>
      </c>
      <c r="J16" s="5">
        <f>+'rates, dates, etc'!J503</f>
        <v>0</v>
      </c>
      <c r="K16" s="5">
        <f>+'rates, dates, etc'!K503</f>
        <v>0</v>
      </c>
      <c r="L16" s="83">
        <f t="shared" si="10"/>
        <v>0</v>
      </c>
    </row>
    <row r="17" spans="1:12" x14ac:dyDescent="0.2">
      <c r="A17" s="3" t="str">
        <f>+'rates, dates, etc'!A506</f>
        <v>Other</v>
      </c>
      <c r="B17" s="5">
        <f>HLOOKUP(B$4,'rates, dates, etc'!B505:I510,6,FALSE)</f>
        <v>0</v>
      </c>
      <c r="C17" s="5">
        <f>HLOOKUP(C$4,'rates, dates, etc'!C505:O510,6,FALSE)</f>
        <v>0</v>
      </c>
      <c r="D17" s="5">
        <f>HLOOKUP(D$4,'rates, dates, etc'!D505:P510,6,FALSE)</f>
        <v>0</v>
      </c>
      <c r="E17" s="5">
        <f>HLOOKUP(E$4,'rates, dates, etc'!E505:Q510,6,FALSE)</f>
        <v>0</v>
      </c>
      <c r="F17" s="5">
        <f>HLOOKUP(F$4,'rates, dates, etc'!F505:R510,6,FALSE)</f>
        <v>0</v>
      </c>
      <c r="G17" s="5">
        <f>HLOOKUP(G$4,'rates, dates, etc'!G505:S510,6,FALSE)</f>
        <v>0</v>
      </c>
      <c r="H17" s="5">
        <f>HLOOKUP(H$4,'rates, dates, etc'!H505:T510,6,FALSE)</f>
        <v>0</v>
      </c>
      <c r="I17" s="5">
        <f>HLOOKUP(I$4,'rates, dates, etc'!I505:U510,6,FALSE)</f>
        <v>0</v>
      </c>
      <c r="J17" s="5">
        <f>HLOOKUP(J$4,'rates, dates, etc'!J505:V510,6,FALSE)</f>
        <v>0</v>
      </c>
      <c r="K17" s="5">
        <f>HLOOKUP(K$4,'rates, dates, etc'!K505:W510,6,FALSE)</f>
        <v>0</v>
      </c>
      <c r="L17" s="83">
        <f t="shared" si="10"/>
        <v>0</v>
      </c>
    </row>
    <row r="18" spans="1:12" x14ac:dyDescent="0.2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83">
        <f t="shared" si="10"/>
        <v>0</v>
      </c>
    </row>
    <row r="19" spans="1:12" ht="12" thickBot="1" x14ac:dyDescent="0.25">
      <c r="A19" s="76" t="str">
        <f>CONCATENATE("Total ",A12)</f>
        <v>Total Other Personnel Salary</v>
      </c>
      <c r="B19" s="6">
        <f>SUM(B12:B18)</f>
        <v>0</v>
      </c>
      <c r="C19" s="6">
        <f>SUM(C12:C18)</f>
        <v>0</v>
      </c>
      <c r="D19" s="6">
        <f t="shared" ref="D19:F19" si="17">SUM(D12:D18)</f>
        <v>0</v>
      </c>
      <c r="E19" s="6">
        <f>SUM(E12:E18)</f>
        <v>0</v>
      </c>
      <c r="F19" s="6">
        <f t="shared" si="17"/>
        <v>0</v>
      </c>
      <c r="G19" s="6">
        <f t="shared" ref="G19:K19" si="18">SUM(G12:G18)</f>
        <v>0</v>
      </c>
      <c r="H19" s="6">
        <f t="shared" si="18"/>
        <v>0</v>
      </c>
      <c r="I19" s="6">
        <f t="shared" si="18"/>
        <v>0</v>
      </c>
      <c r="J19" s="6">
        <f t="shared" si="18"/>
        <v>0</v>
      </c>
      <c r="K19" s="6">
        <f t="shared" si="18"/>
        <v>0</v>
      </c>
      <c r="L19" s="86">
        <f>SUM(L12:L18)</f>
        <v>0</v>
      </c>
    </row>
    <row r="20" spans="1:12" x14ac:dyDescent="0.2">
      <c r="A20" s="77" t="s">
        <v>7</v>
      </c>
      <c r="B20" s="17" t="s">
        <v>6</v>
      </c>
      <c r="C20" s="17"/>
      <c r="D20" s="17"/>
      <c r="E20" s="17"/>
      <c r="F20" s="17"/>
      <c r="G20" s="17"/>
      <c r="H20" s="17"/>
      <c r="I20" s="17"/>
      <c r="J20" s="17"/>
      <c r="K20" s="17"/>
      <c r="L20" s="83"/>
    </row>
    <row r="21" spans="1:12" x14ac:dyDescent="0.2">
      <c r="A21" s="3" t="str">
        <f>+A8</f>
        <v>Co-PI</v>
      </c>
      <c r="B21" s="17">
        <f>IF('rates, dates, etc'!$O454=9,ROUND((+B8*O$78),0),ROUND((+B8*O$81*$P$89)+(B8*P$81*$P$90),0))</f>
        <v>0</v>
      </c>
      <c r="C21" s="17">
        <f>IF('rates, dates, etc'!$O454=9,ROUND((+C8*P$78),0),ROUND((+C8*P$81*$P$89)+(C8*Q$81*$P$90),0))</f>
        <v>0</v>
      </c>
      <c r="D21" s="17">
        <f>IF('rates, dates, etc'!$O454=9,ROUND((+D8*Q$78),0),ROUND((+D8*Q$81*$P$89)+(D8*R$81*$P$90),0))</f>
        <v>0</v>
      </c>
      <c r="E21" s="17">
        <f>IF('rates, dates, etc'!$O454=9,ROUND((+E8*R$78),0),ROUND((+E8*R$81*$P$89)+(E8*S$81*$P$90),0))</f>
        <v>0</v>
      </c>
      <c r="F21" s="17">
        <f>IF('rates, dates, etc'!$O454=9,ROUND((+F8*S$78),0),ROUND((+F8*S$81*$P$89)+(F8*T$81*$P$90),0))</f>
        <v>0</v>
      </c>
      <c r="G21" s="17">
        <f>IF('rates, dates, etc'!$O454=9,ROUND((+G8*T$78),0),ROUND((+G8*T$81*$P$89)+(G8*U$81*$P$90),0))</f>
        <v>0</v>
      </c>
      <c r="H21" s="17">
        <f>IF('rates, dates, etc'!$O454=9,ROUND((+H8*U$78),0),ROUND((+H8*U$81*$P$89)+(H8*V$81*$P$90),0))</f>
        <v>0</v>
      </c>
      <c r="I21" s="17">
        <f>IF('rates, dates, etc'!$O454=9,ROUND((+I8*V$78),0),ROUND((+I8*V$81*$P$89)+(I8*W$81*$P$90),0))</f>
        <v>0</v>
      </c>
      <c r="J21" s="17">
        <f>IF('rates, dates, etc'!$O454=9,ROUND((+J8*W$78),0),ROUND((+J8*W$81*$P$89)+(J8*X$81*$P$90),0))</f>
        <v>0</v>
      </c>
      <c r="K21" s="17">
        <f>IF('rates, dates, etc'!$O454=9,ROUND((+K8*X$78),0),ROUND((+K8*X$81*$P$89)+(K8*Y$81*$P$90),0))</f>
        <v>0</v>
      </c>
      <c r="L21" s="83">
        <f>SUM(B21:K21)</f>
        <v>0</v>
      </c>
    </row>
    <row r="22" spans="1:12" x14ac:dyDescent="0.2">
      <c r="A22" s="3" t="str">
        <f>+A9</f>
        <v>Co-PI</v>
      </c>
      <c r="B22" s="17">
        <f>IF('rates, dates, etc'!$O462=9,ROUND((+B9*O$78),0),ROUND((+B9*O$81*$P$89)+(B9*P$81*$P$90),0))</f>
        <v>0</v>
      </c>
      <c r="C22" s="17">
        <f>IF('rates, dates, etc'!$O462=9,ROUND((+C9*P$78),0),ROUND((+C9*P$81*$P$89)+(C9*Q$81*$P$90),0))</f>
        <v>0</v>
      </c>
      <c r="D22" s="17">
        <f>IF('rates, dates, etc'!$O462=9,ROUND((+D9*Q$78),0),ROUND((+D9*Q$81*$P$89)+(D9*R$81*$P$90),0))</f>
        <v>0</v>
      </c>
      <c r="E22" s="17">
        <f>IF('rates, dates, etc'!$O462=9,ROUND((+E9*R$78),0),ROUND((+E9*R$81*$P$89)+(E9*S$81*$P$90),0))</f>
        <v>0</v>
      </c>
      <c r="F22" s="17">
        <f>IF('rates, dates, etc'!$O462=9,ROUND((+F9*S$78),0),ROUND((+F9*S$81*$P$89)+(F9*T$81*$P$90),0))</f>
        <v>0</v>
      </c>
      <c r="G22" s="17">
        <f>IF('rates, dates, etc'!$O462=9,ROUND((+G9*T$78),0),ROUND((+G9*T$81*$P$89)+(G9*U$81*$P$90),0))</f>
        <v>0</v>
      </c>
      <c r="H22" s="17">
        <f>IF('rates, dates, etc'!$O462=9,ROUND((+H9*U$78),0),ROUND((+H9*U$81*$P$89)+(H9*V$81*$P$90),0))</f>
        <v>0</v>
      </c>
      <c r="I22" s="17">
        <f>IF('rates, dates, etc'!$O462=9,ROUND((+I9*V$78),0),ROUND((+I9*V$81*$P$89)+(I9*W$81*$P$90),0))</f>
        <v>0</v>
      </c>
      <c r="J22" s="17">
        <f>IF('rates, dates, etc'!$O462=9,ROUND((+J9*W$78),0),ROUND((+J9*W$81*$P$89)+(J9*X$81*$P$90),0))</f>
        <v>0</v>
      </c>
      <c r="K22" s="17">
        <f>IF('rates, dates, etc'!$O462=9,ROUND((+K9*X$78),0),ROUND((+K9*X$81*$P$89)+(K9*Y$81*$P$90),0))</f>
        <v>0</v>
      </c>
      <c r="L22" s="83">
        <f t="shared" ref="L22:L26" si="19">SUM(B22:K22)</f>
        <v>0</v>
      </c>
    </row>
    <row r="23" spans="1:12" x14ac:dyDescent="0.2">
      <c r="A23" s="3" t="str">
        <f>+A10</f>
        <v>Co-PI</v>
      </c>
      <c r="B23" s="17">
        <f>IF('rates, dates, etc'!$O470=9,ROUND((+B10*O$78),0),ROUND((+B10*O$81*$P$89)+(B10*P$81*$P$90),0))</f>
        <v>0</v>
      </c>
      <c r="C23" s="17">
        <f>IF('rates, dates, etc'!$O470=9,ROUND((+C10*P$78),0),ROUND((+C10*P$81*$P$89)+(C10*Q$81*$P$90),0))</f>
        <v>0</v>
      </c>
      <c r="D23" s="17">
        <f>IF('rates, dates, etc'!$O470=9,ROUND((+D10*Q$78),0),ROUND((+D10*Q$81*$P$89)+(D10*R$81*$P$90),0))</f>
        <v>0</v>
      </c>
      <c r="E23" s="17">
        <f>IF('rates, dates, etc'!$O470=9,ROUND((+E10*R$78),0),ROUND((+E10*R$81*$P$89)+(E10*S$81*$P$90),0))</f>
        <v>0</v>
      </c>
      <c r="F23" s="17">
        <f>IF('rates, dates, etc'!$O470=9,ROUND((+F10*S$78),0),ROUND((+F10*S$81*$P$89)+(F10*T$81*$P$90),0))</f>
        <v>0</v>
      </c>
      <c r="G23" s="17">
        <f>IF('rates, dates, etc'!$O470=9,ROUND((+G10*T$78),0),ROUND((+G10*T$81*$P$89)+(G10*U$81*$P$90),0))</f>
        <v>0</v>
      </c>
      <c r="H23" s="17">
        <f>IF('rates, dates, etc'!$O470=9,ROUND((+H10*U$78),0),ROUND((+H10*U$81*$P$89)+(H10*V$81*$P$90),0))</f>
        <v>0</v>
      </c>
      <c r="I23" s="17">
        <f>IF('rates, dates, etc'!$O470=9,ROUND((+I10*V$78),0),ROUND((+I10*V$81*$P$89)+(I10*W$81*$P$90),0))</f>
        <v>0</v>
      </c>
      <c r="J23" s="17">
        <f>IF('rates, dates, etc'!$O470=9,ROUND((+J10*W$78),0),ROUND((+J10*W$81*$P$89)+(J10*X$81*$P$90),0))</f>
        <v>0</v>
      </c>
      <c r="K23" s="17">
        <f>IF('rates, dates, etc'!$O470=9,ROUND((+K10*X$78),0),ROUND((+K10*X$81*$P$89)+(K10*Y$81*$P$90),0))</f>
        <v>0</v>
      </c>
      <c r="L23" s="83">
        <f t="shared" si="19"/>
        <v>0</v>
      </c>
    </row>
    <row r="24" spans="1:12" x14ac:dyDescent="0.2">
      <c r="A24" s="3" t="str">
        <f>+A13</f>
        <v>Post Doctoral Scholar(s)</v>
      </c>
      <c r="B24" s="17">
        <f t="shared" ref="B24:F25" si="20">ROUND((+B13*O82*$P$89)+(B13*P82*$P$90),0)</f>
        <v>0</v>
      </c>
      <c r="C24" s="17">
        <f t="shared" si="20"/>
        <v>0</v>
      </c>
      <c r="D24" s="17">
        <f t="shared" si="20"/>
        <v>0</v>
      </c>
      <c r="E24" s="17">
        <f t="shared" si="20"/>
        <v>0</v>
      </c>
      <c r="F24" s="17">
        <f t="shared" si="20"/>
        <v>0</v>
      </c>
      <c r="G24" s="17">
        <f t="shared" ref="G24:K24" si="21">ROUND((+G13*T82*$P$89)+(G13*U82*$P$90),0)</f>
        <v>0</v>
      </c>
      <c r="H24" s="17">
        <f t="shared" si="21"/>
        <v>0</v>
      </c>
      <c r="I24" s="17">
        <f t="shared" si="21"/>
        <v>0</v>
      </c>
      <c r="J24" s="17">
        <f t="shared" si="21"/>
        <v>0</v>
      </c>
      <c r="K24" s="17">
        <f t="shared" si="21"/>
        <v>0</v>
      </c>
      <c r="L24" s="83">
        <f t="shared" si="19"/>
        <v>0</v>
      </c>
    </row>
    <row r="25" spans="1:12" x14ac:dyDescent="0.2">
      <c r="A25" s="3" t="str">
        <f>+A14</f>
        <v>Other Professional(s) (Technicians, etc)</v>
      </c>
      <c r="B25" s="17">
        <f t="shared" si="20"/>
        <v>0</v>
      </c>
      <c r="C25" s="17">
        <f t="shared" si="20"/>
        <v>0</v>
      </c>
      <c r="D25" s="17">
        <f t="shared" si="20"/>
        <v>0</v>
      </c>
      <c r="E25" s="17">
        <f t="shared" si="20"/>
        <v>0</v>
      </c>
      <c r="F25" s="17">
        <f t="shared" si="20"/>
        <v>0</v>
      </c>
      <c r="G25" s="17">
        <f t="shared" ref="G25:K25" si="22">ROUND((+G14*T83*$P$89)+(G14*U83*$P$90),0)</f>
        <v>0</v>
      </c>
      <c r="H25" s="17">
        <f t="shared" si="22"/>
        <v>0</v>
      </c>
      <c r="I25" s="17">
        <f t="shared" si="22"/>
        <v>0</v>
      </c>
      <c r="J25" s="17">
        <f t="shared" si="22"/>
        <v>0</v>
      </c>
      <c r="K25" s="17">
        <f t="shared" si="22"/>
        <v>0</v>
      </c>
      <c r="L25" s="83">
        <f t="shared" si="19"/>
        <v>0</v>
      </c>
    </row>
    <row r="26" spans="1:12" x14ac:dyDescent="0.2">
      <c r="A26" s="3" t="str">
        <f>+A17</f>
        <v>Other</v>
      </c>
      <c r="B26" s="17">
        <f>IF('rates, dates, etc'!$O507=9,ROUND((+B17*O$78),0),ROUND((+B17*O$83*$P$89)+(B17*P$83*$P$90),0))</f>
        <v>0</v>
      </c>
      <c r="C26" s="17">
        <f>IF('rates, dates, etc'!$O507=9,ROUND((+C17*P$78),0),ROUND((+C17*P$83*$P$89)+(C17*Q$83*$P$90),0))</f>
        <v>0</v>
      </c>
      <c r="D26" s="17">
        <f>IF('rates, dates, etc'!$O507=9,ROUND((+D17*Q$78),0),ROUND((+D17*Q$83*$P$89)+(D17*R$83*$P$90),0))</f>
        <v>0</v>
      </c>
      <c r="E26" s="17">
        <f>IF('rates, dates, etc'!$O507=9,ROUND((+E17*R$78),0),ROUND((+E17*R$83*$P$89)+(E17*S$83*$P$90),0))</f>
        <v>0</v>
      </c>
      <c r="F26" s="17">
        <f>IF('rates, dates, etc'!$O507=9,ROUND((+F17*S$78),0),ROUND((+F17*S$83*$P$89)+(F17*T$83*$P$90),0))</f>
        <v>0</v>
      </c>
      <c r="G26" s="17">
        <f>IF('rates, dates, etc'!$O507=9,ROUND((+G17*T$78),0),ROUND((+G17*T$83*$P$89)+(G17*U$83*$P$90),0))</f>
        <v>0</v>
      </c>
      <c r="H26" s="17">
        <f>IF('rates, dates, etc'!$O507=9,ROUND((+H17*U$78),0),ROUND((+H17*U$83*$P$89)+(H17*V$83*$P$90),0))</f>
        <v>0</v>
      </c>
      <c r="I26" s="17">
        <f>IF('rates, dates, etc'!$O507=9,ROUND((+I17*V$78),0),ROUND((+I17*V$83*$P$89)+(I17*W$83*$P$90),0))</f>
        <v>0</v>
      </c>
      <c r="J26" s="17">
        <f>IF('rates, dates, etc'!$O507=9,ROUND((+J17*W$78),0),ROUND((+J17*W$83*$P$89)+(J17*X$83*$P$90),0))</f>
        <v>0</v>
      </c>
      <c r="K26" s="17">
        <f>IF('rates, dates, etc'!$O507=9,ROUND((+K17*X$78),0),ROUND((+K17*X$83*$P$89)+(K17*Y$83*$P$90),0))</f>
        <v>0</v>
      </c>
      <c r="L26" s="83">
        <f t="shared" si="19"/>
        <v>0</v>
      </c>
    </row>
    <row r="27" spans="1:12" ht="12" thickBot="1" x14ac:dyDescent="0.25">
      <c r="A27" s="76" t="str">
        <f>CONCATENATE("Total ",A20)</f>
        <v>Total Fringe Benefits</v>
      </c>
      <c r="B27" s="6">
        <f>SUM(B20:B26)</f>
        <v>0</v>
      </c>
      <c r="C27" s="6">
        <f>SUM(C20:C26)</f>
        <v>0</v>
      </c>
      <c r="D27" s="6">
        <f>SUM(D20:D26)</f>
        <v>0</v>
      </c>
      <c r="E27" s="6">
        <f t="shared" ref="E27:F27" si="23">SUM(E20:E26)</f>
        <v>0</v>
      </c>
      <c r="F27" s="6">
        <f t="shared" si="23"/>
        <v>0</v>
      </c>
      <c r="G27" s="6">
        <f t="shared" ref="G27:K27" si="24">SUM(G20:G26)</f>
        <v>0</v>
      </c>
      <c r="H27" s="6">
        <f t="shared" si="24"/>
        <v>0</v>
      </c>
      <c r="I27" s="6">
        <f t="shared" si="24"/>
        <v>0</v>
      </c>
      <c r="J27" s="6">
        <f t="shared" si="24"/>
        <v>0</v>
      </c>
      <c r="K27" s="6">
        <f t="shared" si="24"/>
        <v>0</v>
      </c>
      <c r="L27" s="86">
        <f>SUM(L20:L26)</f>
        <v>0</v>
      </c>
    </row>
    <row r="28" spans="1:12" ht="12" thickBot="1" x14ac:dyDescent="0.25">
      <c r="A28" s="130" t="s">
        <v>108</v>
      </c>
      <c r="B28" s="131">
        <f>+B11+B19+B27</f>
        <v>0</v>
      </c>
      <c r="C28" s="131">
        <f t="shared" ref="C28:F28" si="25">+C11+C19+C27</f>
        <v>0</v>
      </c>
      <c r="D28" s="131">
        <f t="shared" si="25"/>
        <v>0</v>
      </c>
      <c r="E28" s="131">
        <f t="shared" si="25"/>
        <v>0</v>
      </c>
      <c r="F28" s="131">
        <f t="shared" si="25"/>
        <v>0</v>
      </c>
      <c r="G28" s="131">
        <f t="shared" ref="G28:K28" si="26">+G11+G19+G27</f>
        <v>0</v>
      </c>
      <c r="H28" s="131">
        <f t="shared" si="26"/>
        <v>0</v>
      </c>
      <c r="I28" s="131">
        <f t="shared" si="26"/>
        <v>0</v>
      </c>
      <c r="J28" s="131">
        <f t="shared" si="26"/>
        <v>0</v>
      </c>
      <c r="K28" s="131">
        <f t="shared" si="26"/>
        <v>0</v>
      </c>
      <c r="L28" s="132">
        <f>SUM(B28:K28)</f>
        <v>0</v>
      </c>
    </row>
    <row r="29" spans="1:12" x14ac:dyDescent="0.2">
      <c r="A29" s="77" t="s">
        <v>25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83"/>
    </row>
    <row r="30" spans="1:12" x14ac:dyDescent="0.2">
      <c r="A30" s="3" t="s">
        <v>62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83">
        <f>SUM(B30:K30)</f>
        <v>0</v>
      </c>
    </row>
    <row r="31" spans="1:12" x14ac:dyDescent="0.2">
      <c r="A31" s="3"/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83">
        <f>SUM(B31:K31)</f>
        <v>0</v>
      </c>
    </row>
    <row r="32" spans="1:12" ht="12" thickBot="1" x14ac:dyDescent="0.25">
      <c r="A32" s="76" t="str">
        <f>CONCATENATE("Total ",A29)</f>
        <v>Total Equipment</v>
      </c>
      <c r="B32" s="6">
        <f>SUM(B29:B31)</f>
        <v>0</v>
      </c>
      <c r="C32" s="6">
        <f>SUM(C29:C31)</f>
        <v>0</v>
      </c>
      <c r="D32" s="6">
        <f t="shared" ref="D32:F32" si="27">SUM(D29:D31)</f>
        <v>0</v>
      </c>
      <c r="E32" s="6">
        <f t="shared" si="27"/>
        <v>0</v>
      </c>
      <c r="F32" s="6">
        <f t="shared" si="27"/>
        <v>0</v>
      </c>
      <c r="G32" s="6">
        <f t="shared" ref="G32:K32" si="28">SUM(G29:G31)</f>
        <v>0</v>
      </c>
      <c r="H32" s="6">
        <f t="shared" si="28"/>
        <v>0</v>
      </c>
      <c r="I32" s="6">
        <f t="shared" si="28"/>
        <v>0</v>
      </c>
      <c r="J32" s="6">
        <f t="shared" si="28"/>
        <v>0</v>
      </c>
      <c r="K32" s="6">
        <f t="shared" si="28"/>
        <v>0</v>
      </c>
      <c r="L32" s="86">
        <f>SUM(L29:L31)</f>
        <v>0</v>
      </c>
    </row>
    <row r="33" spans="1:16" x14ac:dyDescent="0.2">
      <c r="A33" s="77" t="s">
        <v>34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83"/>
    </row>
    <row r="34" spans="1:16" x14ac:dyDescent="0.2">
      <c r="A34" s="3" t="s">
        <v>10</v>
      </c>
      <c r="B34" s="342">
        <v>0</v>
      </c>
      <c r="C34" s="342">
        <v>0</v>
      </c>
      <c r="D34" s="342">
        <v>0</v>
      </c>
      <c r="E34" s="342">
        <v>0</v>
      </c>
      <c r="F34" s="342">
        <v>0</v>
      </c>
      <c r="G34" s="342">
        <v>0</v>
      </c>
      <c r="H34" s="342">
        <v>0</v>
      </c>
      <c r="I34" s="342">
        <v>0</v>
      </c>
      <c r="J34" s="342">
        <v>0</v>
      </c>
      <c r="K34" s="342">
        <v>0</v>
      </c>
      <c r="L34" s="83">
        <f>SUM(B34:K34)</f>
        <v>0</v>
      </c>
    </row>
    <row r="35" spans="1:16" x14ac:dyDescent="0.2">
      <c r="A35" s="3" t="s">
        <v>11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83">
        <f>SUM(B35:K35)</f>
        <v>0</v>
      </c>
    </row>
    <row r="36" spans="1:16" ht="12" thickBot="1" x14ac:dyDescent="0.25">
      <c r="A36" s="76" t="str">
        <f>CONCATENATE("Total ",A33)</f>
        <v>Total Travel</v>
      </c>
      <c r="B36" s="6">
        <f>SUM(B33:B35)</f>
        <v>0</v>
      </c>
      <c r="C36" s="6">
        <f>SUM(C33:C35)</f>
        <v>0</v>
      </c>
      <c r="D36" s="6">
        <f t="shared" ref="D36:F36" si="29">SUM(D33:D35)</f>
        <v>0</v>
      </c>
      <c r="E36" s="6">
        <f t="shared" si="29"/>
        <v>0</v>
      </c>
      <c r="F36" s="6">
        <f t="shared" si="29"/>
        <v>0</v>
      </c>
      <c r="G36" s="6">
        <f t="shared" ref="G36:K36" si="30">SUM(G33:G35)</f>
        <v>0</v>
      </c>
      <c r="H36" s="6">
        <f t="shared" si="30"/>
        <v>0</v>
      </c>
      <c r="I36" s="6">
        <f t="shared" si="30"/>
        <v>0</v>
      </c>
      <c r="J36" s="6">
        <f t="shared" si="30"/>
        <v>0</v>
      </c>
      <c r="K36" s="6">
        <f t="shared" si="30"/>
        <v>0</v>
      </c>
      <c r="L36" s="86">
        <f>SUM(L33:L35)</f>
        <v>0</v>
      </c>
    </row>
    <row r="37" spans="1:16" x14ac:dyDescent="0.2">
      <c r="A37" s="77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83"/>
    </row>
    <row r="38" spans="1:16" x14ac:dyDescent="0.2">
      <c r="A38" s="3" t="s">
        <v>75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83">
        <f>SUM(B38:K38)</f>
        <v>0</v>
      </c>
      <c r="N38" s="1"/>
      <c r="O38" s="1"/>
      <c r="P38" s="1"/>
    </row>
    <row r="39" spans="1:16" x14ac:dyDescent="0.2">
      <c r="A39" s="3" t="s">
        <v>42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83">
        <f t="shared" ref="L39:L42" si="31">SUM(B39:K39)</f>
        <v>0</v>
      </c>
      <c r="N39" s="1"/>
      <c r="O39" s="1"/>
      <c r="P39" s="1"/>
    </row>
    <row r="40" spans="1:16" x14ac:dyDescent="0.2">
      <c r="A40" s="3" t="s">
        <v>34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83">
        <f t="shared" si="31"/>
        <v>0</v>
      </c>
      <c r="P40" s="1"/>
    </row>
    <row r="41" spans="1:16" x14ac:dyDescent="0.2">
      <c r="A41" s="3" t="s">
        <v>43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83">
        <f t="shared" si="31"/>
        <v>0</v>
      </c>
    </row>
    <row r="42" spans="1:16" x14ac:dyDescent="0.2">
      <c r="A42" s="3" t="s">
        <v>29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83">
        <f t="shared" si="31"/>
        <v>0</v>
      </c>
    </row>
    <row r="43" spans="1:16" ht="12" thickBot="1" x14ac:dyDescent="0.25">
      <c r="A43" s="76" t="str">
        <f>CONCATENATE("Total ",A37)</f>
        <v>Total Participant Support Costs</v>
      </c>
      <c r="B43" s="6">
        <f>SUM(B37:B42)</f>
        <v>0</v>
      </c>
      <c r="C43" s="6">
        <f>SUM(C37:C42)</f>
        <v>0</v>
      </c>
      <c r="D43" s="6">
        <f t="shared" ref="D43:F43" si="32">SUM(D37:D42)</f>
        <v>0</v>
      </c>
      <c r="E43" s="6">
        <f t="shared" si="32"/>
        <v>0</v>
      </c>
      <c r="F43" s="6">
        <f t="shared" si="32"/>
        <v>0</v>
      </c>
      <c r="G43" s="6">
        <f t="shared" ref="G43:K43" si="33">SUM(G37:G42)</f>
        <v>0</v>
      </c>
      <c r="H43" s="6">
        <f t="shared" si="33"/>
        <v>0</v>
      </c>
      <c r="I43" s="6">
        <f t="shared" si="33"/>
        <v>0</v>
      </c>
      <c r="J43" s="6">
        <f t="shared" si="33"/>
        <v>0</v>
      </c>
      <c r="K43" s="6">
        <f t="shared" si="33"/>
        <v>0</v>
      </c>
      <c r="L43" s="86">
        <f>SUM(L37:L42)</f>
        <v>0</v>
      </c>
    </row>
    <row r="44" spans="1:16" x14ac:dyDescent="0.2">
      <c r="A44" s="77" t="s">
        <v>13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83"/>
    </row>
    <row r="45" spans="1:16" x14ac:dyDescent="0.2">
      <c r="A45" s="3" t="s">
        <v>14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83">
        <f>SUM(B45:K45)</f>
        <v>0</v>
      </c>
    </row>
    <row r="46" spans="1:16" x14ac:dyDescent="0.2">
      <c r="A46" s="3" t="s">
        <v>181</v>
      </c>
      <c r="B46" s="78">
        <v>0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83">
        <f t="shared" ref="L46:L53" si="34">SUM(B46:K46)</f>
        <v>0</v>
      </c>
    </row>
    <row r="47" spans="1:16" x14ac:dyDescent="0.2">
      <c r="A47" s="3" t="s">
        <v>240</v>
      </c>
      <c r="B47" s="78">
        <v>0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83">
        <f t="shared" si="34"/>
        <v>0</v>
      </c>
    </row>
    <row r="48" spans="1:16" x14ac:dyDescent="0.2">
      <c r="A48" s="3" t="s">
        <v>182</v>
      </c>
      <c r="B48" s="78">
        <v>0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83">
        <f t="shared" si="34"/>
        <v>0</v>
      </c>
    </row>
    <row r="49" spans="1:20" x14ac:dyDescent="0.2">
      <c r="A49" s="3" t="s">
        <v>41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83">
        <f t="shared" si="34"/>
        <v>0</v>
      </c>
    </row>
    <row r="50" spans="1:20" x14ac:dyDescent="0.2">
      <c r="A50" s="3" t="s">
        <v>147</v>
      </c>
      <c r="B50" s="78">
        <f>O70</f>
        <v>0</v>
      </c>
      <c r="C50" s="78">
        <f t="shared" ref="C50:F50" si="35">P70</f>
        <v>0</v>
      </c>
      <c r="D50" s="78">
        <f t="shared" si="35"/>
        <v>0</v>
      </c>
      <c r="E50" s="78">
        <f t="shared" si="35"/>
        <v>0</v>
      </c>
      <c r="F50" s="78">
        <f t="shared" si="35"/>
        <v>0</v>
      </c>
      <c r="G50" s="78">
        <f t="shared" ref="G50:G51" si="36">T70</f>
        <v>0</v>
      </c>
      <c r="H50" s="78">
        <f t="shared" ref="H50:H51" si="37">U70</f>
        <v>0</v>
      </c>
      <c r="I50" s="78">
        <f t="shared" ref="I50:I51" si="38">V70</f>
        <v>0</v>
      </c>
      <c r="J50" s="78">
        <f t="shared" ref="J50:J51" si="39">W70</f>
        <v>0</v>
      </c>
      <c r="K50" s="78">
        <f t="shared" ref="K50:K51" si="40">X70</f>
        <v>0</v>
      </c>
      <c r="L50" s="83">
        <f t="shared" si="34"/>
        <v>0</v>
      </c>
    </row>
    <row r="51" spans="1:20" x14ac:dyDescent="0.2">
      <c r="A51" s="3" t="s">
        <v>146</v>
      </c>
      <c r="B51" s="78">
        <f>O71</f>
        <v>0</v>
      </c>
      <c r="C51" s="78">
        <f t="shared" ref="C51:F51" si="41">P71</f>
        <v>0</v>
      </c>
      <c r="D51" s="78">
        <f t="shared" si="41"/>
        <v>0</v>
      </c>
      <c r="E51" s="78">
        <f t="shared" si="41"/>
        <v>0</v>
      </c>
      <c r="F51" s="78">
        <f t="shared" si="41"/>
        <v>0</v>
      </c>
      <c r="G51" s="78">
        <f t="shared" si="36"/>
        <v>0</v>
      </c>
      <c r="H51" s="78">
        <f t="shared" si="37"/>
        <v>0</v>
      </c>
      <c r="I51" s="78">
        <f t="shared" si="38"/>
        <v>0</v>
      </c>
      <c r="J51" s="78">
        <f t="shared" si="39"/>
        <v>0</v>
      </c>
      <c r="K51" s="78">
        <f t="shared" si="40"/>
        <v>0</v>
      </c>
      <c r="L51" s="83">
        <f t="shared" si="34"/>
        <v>0</v>
      </c>
    </row>
    <row r="52" spans="1:20" x14ac:dyDescent="0.2">
      <c r="A52" s="3" t="s">
        <v>29</v>
      </c>
      <c r="B52" s="78">
        <v>0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83">
        <f t="shared" si="34"/>
        <v>0</v>
      </c>
    </row>
    <row r="53" spans="1:20" x14ac:dyDescent="0.2">
      <c r="A53" s="3" t="s">
        <v>29</v>
      </c>
      <c r="B53" s="78">
        <v>0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83">
        <f t="shared" si="34"/>
        <v>0</v>
      </c>
      <c r="P53" s="1"/>
      <c r="S53" s="5"/>
      <c r="T53" s="5"/>
    </row>
    <row r="54" spans="1:20" ht="12" thickBot="1" x14ac:dyDescent="0.25">
      <c r="A54" s="76" t="str">
        <f>CONCATENATE("Total ",A44)</f>
        <v>Total Other Direct Costs</v>
      </c>
      <c r="B54" s="86">
        <f t="shared" ref="B54:L54" si="42">SUM(B44:B53)</f>
        <v>0</v>
      </c>
      <c r="C54" s="6">
        <f t="shared" si="42"/>
        <v>0</v>
      </c>
      <c r="D54" s="6">
        <f t="shared" si="42"/>
        <v>0</v>
      </c>
      <c r="E54" s="6">
        <f t="shared" si="42"/>
        <v>0</v>
      </c>
      <c r="F54" s="6">
        <f t="shared" si="42"/>
        <v>0</v>
      </c>
      <c r="G54" s="6">
        <f t="shared" ref="G54:K54" si="43">SUM(G44:G53)</f>
        <v>0</v>
      </c>
      <c r="H54" s="6">
        <f t="shared" si="43"/>
        <v>0</v>
      </c>
      <c r="I54" s="6">
        <f t="shared" si="43"/>
        <v>0</v>
      </c>
      <c r="J54" s="6">
        <f t="shared" si="43"/>
        <v>0</v>
      </c>
      <c r="K54" s="6">
        <f t="shared" si="43"/>
        <v>0</v>
      </c>
      <c r="L54" s="86">
        <f t="shared" si="42"/>
        <v>0</v>
      </c>
      <c r="S54" s="5"/>
      <c r="T54" s="5"/>
    </row>
    <row r="55" spans="1:20" ht="12" thickBot="1" x14ac:dyDescent="0.25">
      <c r="A55" s="82" t="s">
        <v>16</v>
      </c>
      <c r="B55" s="124">
        <f t="shared" ref="B55:L55" si="44">SUM(+B11+B19+B27+B32+B36+B43+B54)</f>
        <v>0</v>
      </c>
      <c r="C55" s="124">
        <f t="shared" si="44"/>
        <v>0</v>
      </c>
      <c r="D55" s="124">
        <f t="shared" si="44"/>
        <v>0</v>
      </c>
      <c r="E55" s="124">
        <f t="shared" si="44"/>
        <v>0</v>
      </c>
      <c r="F55" s="124">
        <f t="shared" si="44"/>
        <v>0</v>
      </c>
      <c r="G55" s="124">
        <f t="shared" ref="G55:K55" si="45">SUM(+G11+G19+G27+G32+G36+G43+G54)</f>
        <v>0</v>
      </c>
      <c r="H55" s="124">
        <f t="shared" si="45"/>
        <v>0</v>
      </c>
      <c r="I55" s="124">
        <f t="shared" si="45"/>
        <v>0</v>
      </c>
      <c r="J55" s="124">
        <f t="shared" si="45"/>
        <v>0</v>
      </c>
      <c r="K55" s="124">
        <f t="shared" si="45"/>
        <v>0</v>
      </c>
      <c r="L55" s="125">
        <f t="shared" si="44"/>
        <v>0</v>
      </c>
      <c r="S55" s="5"/>
      <c r="T55" s="5"/>
    </row>
    <row r="56" spans="1:20" ht="12" thickBot="1" x14ac:dyDescent="0.25">
      <c r="A56" s="71" t="s">
        <v>17</v>
      </c>
      <c r="B56" s="94">
        <f>+B55-(B50+B51+B43+B61+B32)</f>
        <v>0</v>
      </c>
      <c r="C56" s="94">
        <f t="shared" ref="C56:K56" si="46">+C55-(C50+C51+C43+C61+C32)</f>
        <v>0</v>
      </c>
      <c r="D56" s="94">
        <f t="shared" si="46"/>
        <v>0</v>
      </c>
      <c r="E56" s="94">
        <f t="shared" si="46"/>
        <v>0</v>
      </c>
      <c r="F56" s="94">
        <f t="shared" si="46"/>
        <v>0</v>
      </c>
      <c r="G56" s="94">
        <f t="shared" si="46"/>
        <v>0</v>
      </c>
      <c r="H56" s="94">
        <f t="shared" si="46"/>
        <v>0</v>
      </c>
      <c r="I56" s="94">
        <f t="shared" si="46"/>
        <v>0</v>
      </c>
      <c r="J56" s="94">
        <f t="shared" si="46"/>
        <v>0</v>
      </c>
      <c r="K56" s="94">
        <f t="shared" si="46"/>
        <v>0</v>
      </c>
      <c r="L56" s="81">
        <f>SUM(B56:K56)</f>
        <v>0</v>
      </c>
      <c r="M56" s="108"/>
      <c r="S56" s="5"/>
      <c r="T56" s="5"/>
    </row>
    <row r="57" spans="1:20" ht="12" thickBot="1" x14ac:dyDescent="0.25">
      <c r="A57" s="99" t="s">
        <v>18</v>
      </c>
      <c r="B57" s="126">
        <f>IF(AND('rates, dates, etc'!$B$8="no",'Budget Summary'!$L$99&lt;'Budget Summary'!$L$100),B63,B64)</f>
        <v>0</v>
      </c>
      <c r="C57" s="126">
        <f>IF(AND('rates, dates, etc'!$B$8="no",'Budget Summary'!$L$99&lt;'Budget Summary'!$L$100),C63,C64)</f>
        <v>0</v>
      </c>
      <c r="D57" s="126">
        <f>IF(AND('rates, dates, etc'!$B$8="no",'Budget Summary'!$L$99&lt;'Budget Summary'!$L$100),D63,D64)</f>
        <v>0</v>
      </c>
      <c r="E57" s="126">
        <f>IF(AND('rates, dates, etc'!$B$8="no",'Budget Summary'!$L$99&lt;'Budget Summary'!$L$100),E63,E64)</f>
        <v>0</v>
      </c>
      <c r="F57" s="126">
        <f>IF(AND('rates, dates, etc'!$B$8="no",'Budget Summary'!$L$99&lt;'Budget Summary'!$L$100),F63,F64)</f>
        <v>0</v>
      </c>
      <c r="G57" s="126">
        <f>IF(AND('rates, dates, etc'!$B$8="no",'Budget Summary'!$L$99&lt;'Budget Summary'!$L$100),G63,G64)</f>
        <v>0</v>
      </c>
      <c r="H57" s="126">
        <f>IF(AND('rates, dates, etc'!$B$8="no",'Budget Summary'!$L$99&lt;'Budget Summary'!$L$100),H63,H64)</f>
        <v>0</v>
      </c>
      <c r="I57" s="126">
        <f>IF(AND('rates, dates, etc'!$B$8="no",'Budget Summary'!$L$99&lt;'Budget Summary'!$L$100),I63,I64)</f>
        <v>0</v>
      </c>
      <c r="J57" s="126">
        <f>IF(AND('rates, dates, etc'!$B$8="no",'Budget Summary'!$L$99&lt;'Budget Summary'!$L$100),J63,J64)</f>
        <v>0</v>
      </c>
      <c r="K57" s="126">
        <f>IF(AND('rates, dates, etc'!$B$8="no",'Budget Summary'!$L$99&lt;'Budget Summary'!$L$100),K63,K64)</f>
        <v>0</v>
      </c>
      <c r="L57" s="127">
        <f>SUM(B57:K57)</f>
        <v>0</v>
      </c>
      <c r="M57" s="107"/>
      <c r="S57" s="5"/>
      <c r="T57" s="5"/>
    </row>
    <row r="58" spans="1:20" ht="12" thickBot="1" x14ac:dyDescent="0.25">
      <c r="A58" s="100" t="s">
        <v>19</v>
      </c>
      <c r="B58" s="128">
        <f>+B55+B57</f>
        <v>0</v>
      </c>
      <c r="C58" s="128">
        <f t="shared" ref="C58:F58" si="47">+C55+C57</f>
        <v>0</v>
      </c>
      <c r="D58" s="128">
        <f t="shared" si="47"/>
        <v>0</v>
      </c>
      <c r="E58" s="128">
        <f t="shared" si="47"/>
        <v>0</v>
      </c>
      <c r="F58" s="128">
        <f t="shared" si="47"/>
        <v>0</v>
      </c>
      <c r="G58" s="128">
        <f t="shared" ref="G58:K58" si="48">+G55+G57</f>
        <v>0</v>
      </c>
      <c r="H58" s="128">
        <f t="shared" si="48"/>
        <v>0</v>
      </c>
      <c r="I58" s="128">
        <f t="shared" si="48"/>
        <v>0</v>
      </c>
      <c r="J58" s="128">
        <f t="shared" si="48"/>
        <v>0</v>
      </c>
      <c r="K58" s="128">
        <f t="shared" si="48"/>
        <v>0</v>
      </c>
      <c r="L58" s="129">
        <f>SUM(B58:K58)</f>
        <v>0</v>
      </c>
      <c r="Q58" s="4"/>
      <c r="S58" s="5"/>
      <c r="T58" s="5"/>
    </row>
    <row r="59" spans="1:20" x14ac:dyDescent="0.2">
      <c r="A59" s="7"/>
      <c r="B59" s="4"/>
      <c r="C59" s="4"/>
      <c r="D59" s="4"/>
      <c r="E59" s="4"/>
      <c r="F59" s="4"/>
      <c r="G59" s="4"/>
      <c r="H59" s="4"/>
      <c r="I59" s="4"/>
      <c r="J59" s="4"/>
      <c r="K59" s="4"/>
      <c r="Q59" s="4"/>
      <c r="S59" s="5"/>
      <c r="T59" s="5"/>
    </row>
    <row r="60" spans="1:20" ht="12" thickBo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20" ht="12" thickBot="1" x14ac:dyDescent="0.25">
      <c r="A61" s="20" t="s">
        <v>40</v>
      </c>
      <c r="B61" s="87">
        <f>+B49-IF(B49&lt;25000,B49,25000)</f>
        <v>0</v>
      </c>
      <c r="C61" s="87">
        <f>+C49-IF(+B49&gt;25000,0,IF(B49+C49&gt;25000,(25000-B49),C49))</f>
        <v>0</v>
      </c>
      <c r="D61" s="87">
        <f>+D49-IF(+B49+C49&gt;25000,0,IF(B49+C49+D49&gt;25000,(25000-(B49+C49)),D49))</f>
        <v>0</v>
      </c>
      <c r="E61" s="87">
        <f>+E49-IF(B49+C49+D49&gt;25000,0,IF(B49+C49+D49+E49&gt;25000,(25000-(C49+C49+D49)),E49))</f>
        <v>0</v>
      </c>
      <c r="F61" s="87">
        <f>+F49-IF(B49+C49+D49+E49&gt;25000,0,IF(B49+C49+D49+E49+F49&gt;25000,(25000-(B49+C49+D49+E49)),F49))</f>
        <v>0</v>
      </c>
      <c r="G61" s="87">
        <f t="shared" ref="G61:K61" si="49">+G49-IF(C49+D49+E49+F49&gt;25000,0,IF(C49+D49+E49+F49+G49&gt;25000,(25000-(C49+D49+E49+F49)),G49))</f>
        <v>0</v>
      </c>
      <c r="H61" s="87">
        <f t="shared" si="49"/>
        <v>0</v>
      </c>
      <c r="I61" s="87">
        <f t="shared" si="49"/>
        <v>0</v>
      </c>
      <c r="J61" s="87">
        <f t="shared" si="49"/>
        <v>0</v>
      </c>
      <c r="K61" s="87">
        <f t="shared" si="49"/>
        <v>0</v>
      </c>
      <c r="L61" s="92">
        <f>SUM(B61:K61)</f>
        <v>0</v>
      </c>
    </row>
    <row r="62" spans="1:20" ht="12" thickBo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20" ht="12" thickBot="1" x14ac:dyDescent="0.25">
      <c r="A63" s="90" t="s">
        <v>110</v>
      </c>
      <c r="B63" s="93">
        <f>IF('rates, dates, etc'!$B$8="Yes",0,ROUND((B55*O85*$P$89)+(B55*P85*$P$90),0))</f>
        <v>0</v>
      </c>
      <c r="C63" s="93">
        <f>IF('rates, dates, etc'!$B$8="Yes",0,ROUND((C55*P85*$P$89)+(C55*Q85*$P$90),0))</f>
        <v>0</v>
      </c>
      <c r="D63" s="93">
        <f>IF('rates, dates, etc'!$B$8="Yes",0,ROUND((D55*Q85*$P$89)+(D55*R85*$P$90),0))</f>
        <v>0</v>
      </c>
      <c r="E63" s="93">
        <f>IF('rates, dates, etc'!$B$8="Yes",0,ROUND((E55*R85*$P$89)+(E55*S85*$P$90),0))</f>
        <v>0</v>
      </c>
      <c r="F63" s="93">
        <f>IF('rates, dates, etc'!$B$8="Yes",0,ROUND((F55*S85*$P$89)+(F55*T85*$P$90),0))</f>
        <v>0</v>
      </c>
      <c r="G63" s="93">
        <f>IF('rates, dates, etc'!$B$8="Yes",0,ROUND((G55*T85*$P$89)+(G55*U85*$P$90),0))</f>
        <v>0</v>
      </c>
      <c r="H63" s="93">
        <f>IF('rates, dates, etc'!$B$8="Yes",0,ROUND((H55*U85*$P$89)+(H55*V85*$P$90),0))</f>
        <v>0</v>
      </c>
      <c r="I63" s="93">
        <f>IF('rates, dates, etc'!$B$8="Yes",0,ROUND((I55*V85*$P$89)+(I55*W85*$P$90),0))</f>
        <v>0</v>
      </c>
      <c r="J63" s="93">
        <f>IF('rates, dates, etc'!$B$8="Yes",0,ROUND((J55*W85*$P$89)+(J55*X85*$P$90),0))</f>
        <v>0</v>
      </c>
      <c r="K63" s="93">
        <f>IF('rates, dates, etc'!$B$8="Yes",0,ROUND((K55*X85*$P$89)+(K55*Y85*$P$90),0))</f>
        <v>0</v>
      </c>
      <c r="L63" s="93">
        <f>SUM(B63:K63)</f>
        <v>0</v>
      </c>
    </row>
    <row r="64" spans="1:20" ht="12" thickBot="1" x14ac:dyDescent="0.25">
      <c r="A64" s="91" t="s">
        <v>109</v>
      </c>
      <c r="B64" s="93">
        <f t="shared" ref="B64:K64" si="50">ROUND((B56*O86*$P$89)+(B56*P86*$P$90),0)</f>
        <v>0</v>
      </c>
      <c r="C64" s="95">
        <f t="shared" si="50"/>
        <v>0</v>
      </c>
      <c r="D64" s="95">
        <f t="shared" si="50"/>
        <v>0</v>
      </c>
      <c r="E64" s="95">
        <f t="shared" si="50"/>
        <v>0</v>
      </c>
      <c r="F64" s="95">
        <f t="shared" si="50"/>
        <v>0</v>
      </c>
      <c r="G64" s="95">
        <f t="shared" si="50"/>
        <v>0</v>
      </c>
      <c r="H64" s="95">
        <f t="shared" si="50"/>
        <v>0</v>
      </c>
      <c r="I64" s="95">
        <f t="shared" si="50"/>
        <v>0</v>
      </c>
      <c r="J64" s="95">
        <f t="shared" si="50"/>
        <v>0</v>
      </c>
      <c r="K64" s="95">
        <f t="shared" si="50"/>
        <v>0</v>
      </c>
      <c r="L64" s="93">
        <f>SUM(B64:K64)</f>
        <v>0</v>
      </c>
    </row>
    <row r="66" spans="14:26" ht="12" thickBot="1" x14ac:dyDescent="0.25">
      <c r="N66" s="43" t="s">
        <v>71</v>
      </c>
      <c r="O66" s="9" t="str">
        <f>+'rates, dates, etc'!B85</f>
        <v>Year 1</v>
      </c>
      <c r="P66" s="9" t="str">
        <f>+'rates, dates, etc'!C85</f>
        <v>Year 2</v>
      </c>
      <c r="Q66" s="9" t="str">
        <f>+'rates, dates, etc'!D85</f>
        <v>Year 3</v>
      </c>
      <c r="R66" s="9" t="str">
        <f>+'rates, dates, etc'!E85</f>
        <v>Year 4</v>
      </c>
      <c r="S66" s="9" t="str">
        <f>+'rates, dates, etc'!F85</f>
        <v>Year 5</v>
      </c>
      <c r="T66" s="9" t="str">
        <f>+'rates, dates, etc'!G85</f>
        <v>Year 6</v>
      </c>
      <c r="U66" s="9" t="str">
        <f>+'rates, dates, etc'!H85</f>
        <v>Year 7</v>
      </c>
      <c r="V66" s="9" t="str">
        <f>+'rates, dates, etc'!I85</f>
        <v>Year 8</v>
      </c>
      <c r="W66" s="9" t="str">
        <f>+'rates, dates, etc'!J85</f>
        <v>Year 9</v>
      </c>
      <c r="X66" s="9" t="str">
        <f>+'rates, dates, etc'!K85</f>
        <v>Year 10</v>
      </c>
    </row>
    <row r="67" spans="14:26" x14ac:dyDescent="0.2">
      <c r="N67" s="14" t="s">
        <v>32</v>
      </c>
      <c r="O67" s="15">
        <f>SUM('rates, dates, etc'!S485:S487)/3</f>
        <v>0</v>
      </c>
      <c r="P67" s="15">
        <f>SUM('rates, dates, etc'!T485:T487)/3</f>
        <v>0</v>
      </c>
      <c r="Q67" s="15">
        <f>SUM('rates, dates, etc'!U485:U487)/3</f>
        <v>0</v>
      </c>
      <c r="R67" s="15">
        <f>SUM('rates, dates, etc'!V485:V487)/3</f>
        <v>0</v>
      </c>
      <c r="S67" s="15">
        <f>SUM('rates, dates, etc'!W485:W487)/3</f>
        <v>0</v>
      </c>
      <c r="T67" s="15">
        <f>SUM('rates, dates, etc'!X485:X487)/3</f>
        <v>0</v>
      </c>
      <c r="U67" s="15">
        <f>SUM('rates, dates, etc'!Y485:Y487)/3</f>
        <v>0</v>
      </c>
      <c r="V67" s="15">
        <f>SUM('rates, dates, etc'!Z485:Z487)/3</f>
        <v>0</v>
      </c>
      <c r="W67" s="15">
        <f>SUM('rates, dates, etc'!AA485:AA487)/3</f>
        <v>0</v>
      </c>
      <c r="X67" s="15">
        <f>SUM('rates, dates, etc'!AB485:AB487)/3</f>
        <v>0</v>
      </c>
    </row>
    <row r="68" spans="14:26" x14ac:dyDescent="0.2">
      <c r="N68" s="3" t="s">
        <v>144</v>
      </c>
      <c r="O68" s="4">
        <f>(SUMIF('rates, dates, etc'!$R$501:$R$509,"Stipend (Fall)",'rates, dates, etc'!S501:S509))+
(SUMIF('rates, dates, etc'!$R$501:$R$509,"Stipend (Spring)",'rates, dates, etc'!S501:S509))</f>
        <v>0</v>
      </c>
      <c r="P68" s="4">
        <f>(SUMIF('rates, dates, etc'!$R$501:$R$509,"Stipend (Fall)",'rates, dates, etc'!T501:T509))+
(SUMIF('rates, dates, etc'!$R$501:$R$509,"Stipend (Spring)",'rates, dates, etc'!T501:T509))</f>
        <v>0</v>
      </c>
      <c r="Q68" s="4">
        <f>(SUMIF('rates, dates, etc'!$R$501:$R$509,"Stipend (Fall)",'rates, dates, etc'!U501:U509))+
(SUMIF('rates, dates, etc'!$R$501:$R$509,"Stipend (Spring)",'rates, dates, etc'!U501:U509))</f>
        <v>0</v>
      </c>
      <c r="R68" s="4">
        <f>(SUMIF('rates, dates, etc'!$R$501:$R$509,"Stipend (Fall)",'rates, dates, etc'!V501:V509))+
(SUMIF('rates, dates, etc'!$R$501:$R$509,"Stipend (Spring)",'rates, dates, etc'!V501:V509))</f>
        <v>0</v>
      </c>
      <c r="S68" s="4">
        <f>(SUMIF('rates, dates, etc'!$R$501:$R$509,"Stipend (Fall)",'rates, dates, etc'!W501:W509))+
(SUMIF('rates, dates, etc'!$R$501:$R$509,"Stipend (Spring)",'rates, dates, etc'!W501:W509))</f>
        <v>0</v>
      </c>
      <c r="T68" s="4">
        <f>(SUMIF('rates, dates, etc'!$R$501:$R$509,"Stipend (Fall)",'rates, dates, etc'!X501:X509))+
(SUMIF('rates, dates, etc'!$R$501:$R$509,"Stipend (Spring)",'rates, dates, etc'!X501:X509))</f>
        <v>0</v>
      </c>
      <c r="U68" s="4">
        <f>(SUMIF('rates, dates, etc'!$R$501:$R$509,"Stipend (Fall)",'rates, dates, etc'!Y501:Y509))+
(SUMIF('rates, dates, etc'!$R$501:$R$509,"Stipend (Spring)",'rates, dates, etc'!Y501:Y509))</f>
        <v>0</v>
      </c>
      <c r="V68" s="4">
        <f>(SUMIF('rates, dates, etc'!$R$501:$R$509,"Stipend (Fall)",'rates, dates, etc'!Z501:Z509))+
(SUMIF('rates, dates, etc'!$R$501:$R$509,"Stipend (Spring)",'rates, dates, etc'!Z501:Z509))</f>
        <v>0</v>
      </c>
      <c r="W68" s="4">
        <f>(SUMIF('rates, dates, etc'!$R$501:$R$509,"Stipend (Fall)",'rates, dates, etc'!AA501:AA509))+
(SUMIF('rates, dates, etc'!$R$501:$R$509,"Stipend (Spring)",'rates, dates, etc'!AA501:AA509))</f>
        <v>0</v>
      </c>
      <c r="X68" s="4">
        <f>(SUMIF('rates, dates, etc'!$R$501:$R$509,"Stipend (Fall)",'rates, dates, etc'!AB501:AB509))+
(SUMIF('rates, dates, etc'!$R$501:$R$509,"Stipend (Spring)",'rates, dates, etc'!AB501:AB509))</f>
        <v>0</v>
      </c>
    </row>
    <row r="69" spans="14:26" x14ac:dyDescent="0.2">
      <c r="N69" s="3" t="s">
        <v>145</v>
      </c>
      <c r="O69" s="4">
        <f>(SUMIF('rates, dates, etc'!$R$501:$R$509,"Stipend (Summer)",'rates, dates, etc'!S501:S509))</f>
        <v>0</v>
      </c>
      <c r="P69" s="4">
        <f>(SUMIF('rates, dates, etc'!$R$501:$R$509,"Stipend (Summer)",'rates, dates, etc'!T501:T509))</f>
        <v>0</v>
      </c>
      <c r="Q69" s="4">
        <f>(SUMIF('rates, dates, etc'!$R$501:$R$509,"Stipend (Summer)",'rates, dates, etc'!U501:U509))</f>
        <v>0</v>
      </c>
      <c r="R69" s="4">
        <f>(SUMIF('rates, dates, etc'!$R$501:$R$509,"Stipend (Summer)",'rates, dates, etc'!V501:V509))</f>
        <v>0</v>
      </c>
      <c r="S69" s="4">
        <f>(SUMIF('rates, dates, etc'!$R$501:$R$509,"Stipend (Summer)",'rates, dates, etc'!W501:W509))</f>
        <v>0</v>
      </c>
      <c r="T69" s="4">
        <f>(SUMIF('rates, dates, etc'!$R$501:$R$509,"Stipend (Summer)",'rates, dates, etc'!X501:X509))</f>
        <v>0</v>
      </c>
      <c r="U69" s="4">
        <f>(SUMIF('rates, dates, etc'!$R$501:$R$509,"Stipend (Summer)",'rates, dates, etc'!Y501:Y509))</f>
        <v>0</v>
      </c>
      <c r="V69" s="4">
        <f>(SUMIF('rates, dates, etc'!$R$501:$R$509,"Stipend (Summer)",'rates, dates, etc'!Z501:Z509))</f>
        <v>0</v>
      </c>
      <c r="W69" s="4">
        <f>(SUMIF('rates, dates, etc'!$R$501:$R$509,"Stipend (Summer)",'rates, dates, etc'!AA501:AA509))</f>
        <v>0</v>
      </c>
      <c r="X69" s="4">
        <f>(SUMIF('rates, dates, etc'!$R$501:$R$509,"Stipend (Summer)",'rates, dates, etc'!AB501:AB509))</f>
        <v>0</v>
      </c>
    </row>
    <row r="70" spans="14:26" x14ac:dyDescent="0.2">
      <c r="N70" s="3" t="s">
        <v>8</v>
      </c>
      <c r="O70" s="4">
        <f>(SUMIF('rates, dates, etc'!$R$501:$R$509,"Tuition (Fall)",'rates, dates, etc'!S501:S509))+
(SUMIF('rates, dates, etc'!$R$501:$R$509,"Tuition (Spring)",'rates, dates, etc'!S501:S509))+
(SUMIF('rates, dates, etc'!$R$501:$R$509,"Tuition (Summer)",'rates, dates, etc'!S501:S509))</f>
        <v>0</v>
      </c>
      <c r="P70" s="4">
        <f>(SUMIF('rates, dates, etc'!$R$501:$R$509,"Tuition (Fall)",'rates, dates, etc'!T501:T509))+
(SUMIF('rates, dates, etc'!$R$501:$R$509,"Tuition (Spring)",'rates, dates, etc'!T501:T509))+
(SUMIF('rates, dates, etc'!$R$501:$R$509,"Tuition (Summer)",'rates, dates, etc'!T501:T509))</f>
        <v>0</v>
      </c>
      <c r="Q70" s="4">
        <f>(SUMIF('rates, dates, etc'!$R$501:$R$509,"Tuition (Fall)",'rates, dates, etc'!U501:U509))+
(SUMIF('rates, dates, etc'!$R$501:$R$509,"Tuition (Spring)",'rates, dates, etc'!U501:U509))+
(SUMIF('rates, dates, etc'!$R$501:$R$509,"Tuition (Summer)",'rates, dates, etc'!U501:U509))</f>
        <v>0</v>
      </c>
      <c r="R70" s="4">
        <f>(SUMIF('rates, dates, etc'!$R$501:$R$509,"Tuition (Fall)",'rates, dates, etc'!V501:V509))+
(SUMIF('rates, dates, etc'!$R$501:$R$509,"Tuition (Spring)",'rates, dates, etc'!V501:V509))+
(SUMIF('rates, dates, etc'!$R$501:$R$509,"Tuition (Summer)",'rates, dates, etc'!V501:V509))</f>
        <v>0</v>
      </c>
      <c r="S70" s="4">
        <f>(SUMIF('rates, dates, etc'!$R$501:$R$509,"Tuition (Fall)",'rates, dates, etc'!W501:W509))+
(SUMIF('rates, dates, etc'!$R$501:$R$509,"Tuition (Spring)",'rates, dates, etc'!W501:W509))+
(SUMIF('rates, dates, etc'!$R$501:$R$509,"Tuition (Summer)",'rates, dates, etc'!W501:W509))</f>
        <v>0</v>
      </c>
      <c r="T70" s="4">
        <f>(SUMIF('rates, dates, etc'!$R$501:$R$509,"Tuition (Fall)",'rates, dates, etc'!X501:X509))+
(SUMIF('rates, dates, etc'!$R$501:$R$509,"Tuition (Spring)",'rates, dates, etc'!X501:X509))+
(SUMIF('rates, dates, etc'!$R$501:$R$509,"Tuition (Summer)",'rates, dates, etc'!X501:X509))</f>
        <v>0</v>
      </c>
      <c r="U70" s="4">
        <f>(SUMIF('rates, dates, etc'!$R$501:$R$509,"Tuition (Fall)",'rates, dates, etc'!Y501:Y509))+
(SUMIF('rates, dates, etc'!$R$501:$R$509,"Tuition (Spring)",'rates, dates, etc'!Y501:Y509))+
(SUMIF('rates, dates, etc'!$R$501:$R$509,"Tuition (Summer)",'rates, dates, etc'!Y501:Y509))</f>
        <v>0</v>
      </c>
      <c r="V70" s="4">
        <f>(SUMIF('rates, dates, etc'!$R$501:$R$509,"Tuition (Fall)",'rates, dates, etc'!Z501:Z509))+
(SUMIF('rates, dates, etc'!$R$501:$R$509,"Tuition (Spring)",'rates, dates, etc'!Z501:Z509))+
(SUMIF('rates, dates, etc'!$R$501:$R$509,"Tuition (Summer)",'rates, dates, etc'!Z501:Z509))</f>
        <v>0</v>
      </c>
      <c r="W70" s="4">
        <f>(SUMIF('rates, dates, etc'!$R$501:$R$509,"Tuition (Fall)",'rates, dates, etc'!AA501:AA509))+
(SUMIF('rates, dates, etc'!$R$501:$R$509,"Tuition (Spring)",'rates, dates, etc'!AA501:AA509))+
(SUMIF('rates, dates, etc'!$R$501:$R$509,"Tuition (Summer)",'rates, dates, etc'!AA501:AA509))</f>
        <v>0</v>
      </c>
      <c r="X70" s="4">
        <f>(SUMIF('rates, dates, etc'!$R$501:$R$509,"Tuition (Fall)",'rates, dates, etc'!AB501:AB509))+
(SUMIF('rates, dates, etc'!$R$501:$R$509,"Tuition (Spring)",'rates, dates, etc'!AB501:AB509))+
(SUMIF('rates, dates, etc'!$R$501:$R$509,"Tuition (Summer)",'rates, dates, etc'!AB501:AB509))</f>
        <v>0</v>
      </c>
    </row>
    <row r="71" spans="14:26" x14ac:dyDescent="0.2">
      <c r="N71" s="3" t="s">
        <v>9</v>
      </c>
      <c r="O71" s="4">
        <f>(SUMIF('rates, dates, etc'!$R$501:$R$509,"Health Insurance (Fall)",'rates, dates, etc'!S501:S509))+
(SUMIF('rates, dates, etc'!$R$501:$R$509,"Health Insurance (Spring)",'rates, dates, etc'!S501:S509))+
(SUMIF('rates, dates, etc'!$R$501:$R$509,"Health Insurance (Summer)",'rates, dates, etc'!S501:S509))</f>
        <v>0</v>
      </c>
      <c r="P71" s="4">
        <f>(SUMIF('rates, dates, etc'!$R$501:$R$509,"Health Insurance (Fall)",'rates, dates, etc'!T501:T509))+
(SUMIF('rates, dates, etc'!$R$501:$R$509,"Health Insurance (Spring)",'rates, dates, etc'!T501:T509))+
(SUMIF('rates, dates, etc'!$R$501:$R$509,"Health Insurance (Summer)",'rates, dates, etc'!T501:T509))</f>
        <v>0</v>
      </c>
      <c r="Q71" s="4">
        <f>(SUMIF('rates, dates, etc'!$R$501:$R$509,"Health Insurance (Fall)",'rates, dates, etc'!U501:U509))+
(SUMIF('rates, dates, etc'!$R$501:$R$509,"Health Insurance (Spring)",'rates, dates, etc'!U501:U509))+
(SUMIF('rates, dates, etc'!$R$501:$R$509,"Health Insurance (Summer)",'rates, dates, etc'!U501:U509))</f>
        <v>0</v>
      </c>
      <c r="R71" s="4">
        <f>(SUMIF('rates, dates, etc'!$R$501:$R$509,"Health Insurance (Fall)",'rates, dates, etc'!V501:V509))+
(SUMIF('rates, dates, etc'!$R$501:$R$509,"Health Insurance (Spring)",'rates, dates, etc'!V501:V509))+
(SUMIF('rates, dates, etc'!$R$501:$R$509,"Health Insurance (Summer)",'rates, dates, etc'!V501:V509))</f>
        <v>0</v>
      </c>
      <c r="S71" s="4">
        <f>(SUMIF('rates, dates, etc'!$R$501:$R$509,"Health Insurance (Fall)",'rates, dates, etc'!W501:W509))+
(SUMIF('rates, dates, etc'!$R$501:$R$509,"Health Insurance (Spring)",'rates, dates, etc'!W501:W509))+
(SUMIF('rates, dates, etc'!$R$501:$R$509,"Health Insurance (Summer)",'rates, dates, etc'!W501:W509))</f>
        <v>0</v>
      </c>
      <c r="T71" s="4">
        <f>(SUMIF('rates, dates, etc'!$R$501:$R$509,"Health Insurance (Fall)",'rates, dates, etc'!X501:X509))+
(SUMIF('rates, dates, etc'!$R$501:$R$509,"Health Insurance (Spring)",'rates, dates, etc'!X501:X509))+
(SUMIF('rates, dates, etc'!$R$501:$R$509,"Health Insurance (Summer)",'rates, dates, etc'!X501:X509))</f>
        <v>0</v>
      </c>
      <c r="U71" s="4">
        <f>(SUMIF('rates, dates, etc'!$R$501:$R$509,"Health Insurance (Fall)",'rates, dates, etc'!Y501:Y509))+
(SUMIF('rates, dates, etc'!$R$501:$R$509,"Health Insurance (Spring)",'rates, dates, etc'!Y501:Y509))+
(SUMIF('rates, dates, etc'!$R$501:$R$509,"Health Insurance (Summer)",'rates, dates, etc'!Y501:Y509))</f>
        <v>0</v>
      </c>
      <c r="V71" s="4">
        <f>(SUMIF('rates, dates, etc'!$R$501:$R$509,"Health Insurance (Fall)",'rates, dates, etc'!Z501:Z509))+
(SUMIF('rates, dates, etc'!$R$501:$R$509,"Health Insurance (Spring)",'rates, dates, etc'!Z501:Z509))+
(SUMIF('rates, dates, etc'!$R$501:$R$509,"Health Insurance (Summer)",'rates, dates, etc'!Z501:Z509))</f>
        <v>0</v>
      </c>
      <c r="W71" s="4">
        <f>(SUMIF('rates, dates, etc'!$R$501:$R$509,"Health Insurance (Fall)",'rates, dates, etc'!AA501:AA509))+
(SUMIF('rates, dates, etc'!$R$501:$R$509,"Health Insurance (Spring)",'rates, dates, etc'!AA501:AA509))+
(SUMIF('rates, dates, etc'!$R$501:$R$509,"Health Insurance (Summer)",'rates, dates, etc'!AA501:AA509))</f>
        <v>0</v>
      </c>
      <c r="X71" s="4">
        <f>(SUMIF('rates, dates, etc'!$R$501:$R$509,"Health Insurance (Fall)",'rates, dates, etc'!AB501:AB509))+
(SUMIF('rates, dates, etc'!$R$501:$R$509,"Health Insurance (Spring)",'rates, dates, etc'!AB501:AB509))+
(SUMIF('rates, dates, etc'!$R$501:$R$509,"Health Insurance (Summer)",'rates, dates, etc'!AB501:AB509))</f>
        <v>0</v>
      </c>
    </row>
    <row r="72" spans="14:26" ht="12" thickBot="1" x14ac:dyDescent="0.25">
      <c r="N72" s="13" t="s">
        <v>31</v>
      </c>
      <c r="O72" s="16">
        <f>SUM(O68:O71)</f>
        <v>0</v>
      </c>
      <c r="P72" s="16">
        <f>SUM(P68:P71)</f>
        <v>0</v>
      </c>
      <c r="Q72" s="16">
        <f>SUM(Q68:Q71)</f>
        <v>0</v>
      </c>
      <c r="R72" s="16">
        <f>SUM(R68:R71)</f>
        <v>0</v>
      </c>
      <c r="S72" s="16">
        <f>SUM(S68:S71)</f>
        <v>0</v>
      </c>
      <c r="T72" s="16">
        <f t="shared" ref="T72:W72" si="51">SUM(T68:T71)</f>
        <v>0</v>
      </c>
      <c r="U72" s="16">
        <f t="shared" si="51"/>
        <v>0</v>
      </c>
      <c r="V72" s="16">
        <f t="shared" si="51"/>
        <v>0</v>
      </c>
      <c r="W72" s="16">
        <f t="shared" si="51"/>
        <v>0</v>
      </c>
      <c r="X72" s="16">
        <f>SUM(X68:X71)</f>
        <v>0</v>
      </c>
    </row>
    <row r="76" spans="14:26" x14ac:dyDescent="0.2">
      <c r="N76" s="44" t="s">
        <v>33</v>
      </c>
    </row>
    <row r="77" spans="14:26" x14ac:dyDescent="0.2">
      <c r="N77" s="64" t="s">
        <v>103</v>
      </c>
      <c r="O77" s="65" t="str">
        <f>+'rates, dates, etc'!AE5</f>
        <v>FY2026</v>
      </c>
      <c r="P77" s="65" t="str">
        <f>+'rates, dates, etc'!AF5</f>
        <v>FY2027</v>
      </c>
      <c r="Q77" s="65" t="str">
        <f>+'rates, dates, etc'!AG5</f>
        <v>FY2028</v>
      </c>
      <c r="R77" s="65" t="str">
        <f>+'rates, dates, etc'!AH5</f>
        <v>FY2029</v>
      </c>
      <c r="S77" s="65" t="str">
        <f>+'rates, dates, etc'!AI5</f>
        <v>FY2030</v>
      </c>
      <c r="T77" s="65" t="str">
        <f>+'rates, dates, etc'!AJ5</f>
        <v>FY2031</v>
      </c>
      <c r="U77" s="65" t="str">
        <f>+'rates, dates, etc'!AK5</f>
        <v>FY2032</v>
      </c>
      <c r="V77" s="65" t="str">
        <f>+'rates, dates, etc'!AL5</f>
        <v>FY2033</v>
      </c>
      <c r="W77" s="65" t="str">
        <f>+'rates, dates, etc'!AM5</f>
        <v>FY2034</v>
      </c>
      <c r="X77" s="65" t="str">
        <f>+'rates, dates, etc'!AN5</f>
        <v>FY2035</v>
      </c>
      <c r="Y77" s="65" t="str">
        <f>+'rates, dates, etc'!AO5</f>
        <v>FY2036</v>
      </c>
      <c r="Z77" s="65" t="str">
        <f>+'rates, dates, etc'!AP5</f>
        <v>FY2037</v>
      </c>
    </row>
    <row r="78" spans="14:26" x14ac:dyDescent="0.2">
      <c r="N78" s="2" t="str">
        <f>+'rates, dates, etc'!A443</f>
        <v xml:space="preserve">   Endowed - Senior Personnel</v>
      </c>
      <c r="O78" s="9">
        <f>IF('rates, dates, etc'!B442='rates, dates, etc'!AE5,'rates, dates, etc'!B443,'rates, dates, etc'!C443)</f>
        <v>0.35</v>
      </c>
      <c r="P78" s="9">
        <f>IF('rates, dates, etc'!C442='rates, dates, etc'!AF5,'rates, dates, etc'!C443,'rates, dates, etc'!D443)</f>
        <v>0.35499999999999998</v>
      </c>
      <c r="Q78" s="9">
        <f>IF('rates, dates, etc'!D442='rates, dates, etc'!AG5,'rates, dates, etc'!D443,'rates, dates, etc'!E443)</f>
        <v>0.37</v>
      </c>
      <c r="R78" s="9">
        <f>IF('rates, dates, etc'!E442='rates, dates, etc'!AH5,'rates, dates, etc'!E443,'rates, dates, etc'!F443)</f>
        <v>0.37</v>
      </c>
      <c r="S78" s="9">
        <f>IF('rates, dates, etc'!F442='rates, dates, etc'!AI5,'rates, dates, etc'!F443,'rates, dates, etc'!G443)</f>
        <v>0.37</v>
      </c>
      <c r="T78" s="9">
        <f>IF('rates, dates, etc'!G442='rates, dates, etc'!AJ5,'rates, dates, etc'!G443,'rates, dates, etc'!H443)</f>
        <v>0.37</v>
      </c>
      <c r="U78" s="9">
        <f>IF('rates, dates, etc'!H442='rates, dates, etc'!AK5,'rates, dates, etc'!H443,'rates, dates, etc'!I443)</f>
        <v>0.37</v>
      </c>
      <c r="V78" s="9">
        <f>IF('rates, dates, etc'!I442='rates, dates, etc'!AL5,'rates, dates, etc'!I443,'rates, dates, etc'!J443)</f>
        <v>0.37</v>
      </c>
      <c r="W78" s="9">
        <f>IF('rates, dates, etc'!J442='rates, dates, etc'!AM5,'rates, dates, etc'!J443,'rates, dates, etc'!K443)</f>
        <v>0.37</v>
      </c>
      <c r="X78" s="9">
        <f>IF('rates, dates, etc'!K442='rates, dates, etc'!AN5,'rates, dates, etc'!K443,'rates, dates, etc'!L443)</f>
        <v>0.37</v>
      </c>
      <c r="Y78" s="9">
        <f>IF('rates, dates, etc'!L442='rates, dates, etc'!AO5,'rates, dates, etc'!L443,'rates, dates, etc'!M443)</f>
        <v>0.37</v>
      </c>
      <c r="Z78" s="9">
        <f>IF('rates, dates, etc'!M442='rates, dates, etc'!AP5,'rates, dates, etc'!M443,'rates, dates, etc'!N443)</f>
        <v>0</v>
      </c>
    </row>
    <row r="79" spans="14:26" x14ac:dyDescent="0.2">
      <c r="O79" s="1"/>
      <c r="P79" s="1"/>
    </row>
    <row r="80" spans="14:26" x14ac:dyDescent="0.2">
      <c r="N80" s="64" t="s">
        <v>104</v>
      </c>
      <c r="O80" s="45" t="str">
        <f>+'rates, dates, etc'!AE4</f>
        <v>FY2025</v>
      </c>
      <c r="P80" s="45" t="str">
        <f>+'rates, dates, etc'!AF4</f>
        <v>FY2026</v>
      </c>
      <c r="Q80" s="45" t="str">
        <f>+'rates, dates, etc'!AG4</f>
        <v>FY2027</v>
      </c>
      <c r="R80" s="45" t="str">
        <f>+'rates, dates, etc'!AH4</f>
        <v>FY2028</v>
      </c>
      <c r="S80" s="45" t="str">
        <f>+'rates, dates, etc'!AI4</f>
        <v>FY2029</v>
      </c>
      <c r="T80" s="45" t="str">
        <f>+'rates, dates, etc'!AJ4</f>
        <v>FY2030</v>
      </c>
      <c r="U80" s="45" t="str">
        <f>+'rates, dates, etc'!AK4</f>
        <v>FY2031</v>
      </c>
      <c r="V80" s="45" t="str">
        <f>+'rates, dates, etc'!AL4</f>
        <v>FY2032</v>
      </c>
      <c r="W80" s="45" t="str">
        <f>+'rates, dates, etc'!AM4</f>
        <v>FY2033</v>
      </c>
      <c r="X80" s="45" t="str">
        <f>+'rates, dates, etc'!AN4</f>
        <v>FY2034</v>
      </c>
      <c r="Y80" s="45" t="str">
        <f>+'rates, dates, etc'!AO4</f>
        <v>FY2035</v>
      </c>
      <c r="Z80" s="45" t="str">
        <f>+'rates, dates, etc'!AP4</f>
        <v>FY2036</v>
      </c>
    </row>
    <row r="81" spans="14:26" x14ac:dyDescent="0.2">
      <c r="N81" s="2" t="str">
        <f>+'rates, dates, etc'!A443</f>
        <v xml:space="preserve">   Endowed - Senior Personnel</v>
      </c>
      <c r="O81" s="123">
        <f>+'rates, dates, etc'!B443</f>
        <v>0.35</v>
      </c>
      <c r="P81" s="123">
        <f>+'rates, dates, etc'!C443</f>
        <v>0.35</v>
      </c>
      <c r="Q81" s="123">
        <f>+'rates, dates, etc'!D443</f>
        <v>0.35499999999999998</v>
      </c>
      <c r="R81" s="123">
        <f>+'rates, dates, etc'!E443</f>
        <v>0.37</v>
      </c>
      <c r="S81" s="123">
        <f>+'rates, dates, etc'!F443</f>
        <v>0.37</v>
      </c>
      <c r="T81" s="123">
        <f>+'rates, dates, etc'!G443</f>
        <v>0.37</v>
      </c>
      <c r="U81" s="123">
        <f>+'rates, dates, etc'!H443</f>
        <v>0.37</v>
      </c>
      <c r="V81" s="123">
        <f>+'rates, dates, etc'!I443</f>
        <v>0.37</v>
      </c>
      <c r="W81" s="123">
        <f>+'rates, dates, etc'!J443</f>
        <v>0.37</v>
      </c>
      <c r="X81" s="123">
        <f>+'rates, dates, etc'!K443</f>
        <v>0.37</v>
      </c>
      <c r="Y81" s="123">
        <f>+'rates, dates, etc'!L443</f>
        <v>0.37</v>
      </c>
      <c r="Z81" s="123">
        <f>+'rates, dates, etc'!M443</f>
        <v>0.37</v>
      </c>
    </row>
    <row r="82" spans="14:26" x14ac:dyDescent="0.2">
      <c r="N82" s="2" t="str">
        <f>+'rates, dates, etc'!A444</f>
        <v xml:space="preserve">   Endowed - Post Doc</v>
      </c>
      <c r="O82" s="123">
        <f>+'rates, dates, etc'!B444</f>
        <v>0.35</v>
      </c>
      <c r="P82" s="123">
        <f>+'rates, dates, etc'!C444</f>
        <v>0.35</v>
      </c>
      <c r="Q82" s="123">
        <f>+'rates, dates, etc'!D444</f>
        <v>0.35499999999999998</v>
      </c>
      <c r="R82" s="123">
        <f>+'rates, dates, etc'!E444</f>
        <v>0.37</v>
      </c>
      <c r="S82" s="123">
        <f>+'rates, dates, etc'!F444</f>
        <v>0.37</v>
      </c>
      <c r="T82" s="123">
        <f>+'rates, dates, etc'!G444</f>
        <v>0.37</v>
      </c>
      <c r="U82" s="123">
        <f>+'rates, dates, etc'!H444</f>
        <v>0.37</v>
      </c>
      <c r="V82" s="123">
        <f>+'rates, dates, etc'!I444</f>
        <v>0.37</v>
      </c>
      <c r="W82" s="123">
        <f>+'rates, dates, etc'!J444</f>
        <v>0.37</v>
      </c>
      <c r="X82" s="123">
        <f>+'rates, dates, etc'!K444</f>
        <v>0.37</v>
      </c>
      <c r="Y82" s="123">
        <f>+'rates, dates, etc'!L444</f>
        <v>0.37</v>
      </c>
      <c r="Z82" s="123">
        <f>+'rates, dates, etc'!M444</f>
        <v>0.37</v>
      </c>
    </row>
    <row r="83" spans="14:26" x14ac:dyDescent="0.2">
      <c r="N83" s="2" t="str">
        <f>+'rates, dates, etc'!A445</f>
        <v xml:space="preserve">   Endowed - Other Employee</v>
      </c>
      <c r="O83" s="123">
        <f>+'rates, dates, etc'!B445</f>
        <v>0.35</v>
      </c>
      <c r="P83" s="123">
        <f>+'rates, dates, etc'!C445</f>
        <v>0.35</v>
      </c>
      <c r="Q83" s="123">
        <f>+'rates, dates, etc'!D445</f>
        <v>0.35499999999999998</v>
      </c>
      <c r="R83" s="123">
        <f>+'rates, dates, etc'!E445</f>
        <v>0.37</v>
      </c>
      <c r="S83" s="123">
        <f>+'rates, dates, etc'!F445</f>
        <v>0.37</v>
      </c>
      <c r="T83" s="123">
        <f>+'rates, dates, etc'!G445</f>
        <v>0.37</v>
      </c>
      <c r="U83" s="123">
        <f>+'rates, dates, etc'!H445</f>
        <v>0.37</v>
      </c>
      <c r="V83" s="123">
        <f>+'rates, dates, etc'!I445</f>
        <v>0.37</v>
      </c>
      <c r="W83" s="123">
        <f>+'rates, dates, etc'!J445</f>
        <v>0.37</v>
      </c>
      <c r="X83" s="123">
        <f>+'rates, dates, etc'!K445</f>
        <v>0.37</v>
      </c>
      <c r="Y83" s="123">
        <f>+'rates, dates, etc'!L445</f>
        <v>0.37</v>
      </c>
      <c r="Z83" s="123">
        <f>+'rates, dates, etc'!M445</f>
        <v>0.37</v>
      </c>
    </row>
    <row r="85" spans="14:26" x14ac:dyDescent="0.2">
      <c r="N85" s="64" t="str">
        <f>+'rates, dates, etc'!A42</f>
        <v/>
      </c>
      <c r="O85" s="1" t="str">
        <f>+'rates, dates, etc'!B42</f>
        <v/>
      </c>
      <c r="P85" s="1" t="str">
        <f>+'rates, dates, etc'!C42</f>
        <v/>
      </c>
      <c r="Q85" s="1" t="str">
        <f>+'rates, dates, etc'!D42</f>
        <v/>
      </c>
      <c r="R85" s="1" t="str">
        <f>+'rates, dates, etc'!E42</f>
        <v/>
      </c>
      <c r="S85" s="1" t="str">
        <f>+'rates, dates, etc'!F42</f>
        <v/>
      </c>
      <c r="T85" s="1" t="str">
        <f>+'rates, dates, etc'!G42</f>
        <v/>
      </c>
      <c r="U85" s="1" t="str">
        <f>+'rates, dates, etc'!H42</f>
        <v/>
      </c>
      <c r="V85" s="1" t="str">
        <f>+'rates, dates, etc'!I42</f>
        <v/>
      </c>
      <c r="W85" s="1" t="str">
        <f>+'rates, dates, etc'!J42</f>
        <v/>
      </c>
      <c r="X85" s="1" t="str">
        <f>+'rates, dates, etc'!K42</f>
        <v/>
      </c>
      <c r="Y85" s="1" t="str">
        <f>+'rates, dates, etc'!L42</f>
        <v/>
      </c>
      <c r="Z85" s="1" t="str">
        <f>+'rates, dates, etc'!M42</f>
        <v/>
      </c>
    </row>
    <row r="86" spans="14:26" x14ac:dyDescent="0.2">
      <c r="N86" s="64" t="str">
        <f>+'rates, dates, etc'!A446</f>
        <v>Cornell IDC Rate - Endowed College</v>
      </c>
      <c r="O86" s="1">
        <f>+'rates, dates, etc'!B446</f>
        <v>0.64</v>
      </c>
      <c r="P86" s="1">
        <f>+'rates, dates, etc'!C446</f>
        <v>0.64</v>
      </c>
      <c r="Q86" s="1">
        <f>+'rates, dates, etc'!D446</f>
        <v>0.64</v>
      </c>
      <c r="R86" s="1">
        <f>+'rates, dates, etc'!E446</f>
        <v>0.64</v>
      </c>
      <c r="S86" s="1">
        <f>+'rates, dates, etc'!F446</f>
        <v>0.64</v>
      </c>
      <c r="T86" s="1">
        <f>+'rates, dates, etc'!G446</f>
        <v>0.64</v>
      </c>
      <c r="U86" s="1">
        <f>+'rates, dates, etc'!H446</f>
        <v>0.64</v>
      </c>
      <c r="V86" s="1">
        <f>+'rates, dates, etc'!I446</f>
        <v>0.64</v>
      </c>
      <c r="W86" s="1">
        <f>+'rates, dates, etc'!J446</f>
        <v>0.64</v>
      </c>
      <c r="X86" s="1">
        <f>+'rates, dates, etc'!K446</f>
        <v>0.64</v>
      </c>
      <c r="Y86" s="1">
        <f>+'rates, dates, etc'!L446</f>
        <v>0.64</v>
      </c>
      <c r="Z86" s="1">
        <f>+'rates, dates, etc'!M446</f>
        <v>0.64</v>
      </c>
    </row>
    <row r="87" spans="14:26" x14ac:dyDescent="0.2">
      <c r="S87" s="5"/>
      <c r="T87" s="5"/>
    </row>
    <row r="88" spans="14:26" x14ac:dyDescent="0.2">
      <c r="N88" s="47" t="str">
        <f>+'rates, dates, etc'!O40</f>
        <v>Pro-rating factor for 12 month appts.:</v>
      </c>
      <c r="O88" s="9" t="s">
        <v>36</v>
      </c>
      <c r="P88" s="9" t="s">
        <v>52</v>
      </c>
      <c r="S88" s="5"/>
      <c r="T88" s="5"/>
    </row>
    <row r="89" spans="14:26" x14ac:dyDescent="0.2">
      <c r="N89" s="48" t="s">
        <v>46</v>
      </c>
      <c r="O89" s="44">
        <f>+'rates, dates, etc'!P41</f>
        <v>6</v>
      </c>
      <c r="P89" s="44">
        <f>+'rates, dates, etc'!Q41</f>
        <v>0.5</v>
      </c>
      <c r="S89" s="5"/>
      <c r="T89" s="5"/>
    </row>
    <row r="90" spans="14:26" x14ac:dyDescent="0.2">
      <c r="N90" s="48" t="s">
        <v>47</v>
      </c>
      <c r="O90" s="44">
        <f>+'rates, dates, etc'!P42</f>
        <v>6</v>
      </c>
      <c r="P90" s="44">
        <f>+'rates, dates, etc'!Q42</f>
        <v>0.5</v>
      </c>
    </row>
    <row r="91" spans="14:26" x14ac:dyDescent="0.2">
      <c r="N91" s="46"/>
      <c r="O91" s="49">
        <f>SUM(O89:O90)</f>
        <v>12</v>
      </c>
      <c r="P91" s="1" t="s">
        <v>83</v>
      </c>
    </row>
    <row r="92" spans="14:26" x14ac:dyDescent="0.2">
      <c r="N92" s="1"/>
      <c r="O92" s="1"/>
      <c r="P92" s="1"/>
    </row>
  </sheetData>
  <pageMargins left="0.75" right="0.53" top="0.7" bottom="0.64" header="0.5" footer="0.5"/>
  <pageSetup scale="95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61D72330-31B5-4E32-9202-2D94F9530E5A}">
            <xm:f>'rates, dates, etc'!$B$8="Yes"</xm:f>
            <x14:dxf/>
          </x14:cfRule>
          <x14:cfRule type="expression" priority="2" id="{B50DE8C2-5256-46E2-8CA4-95B1DC5C6379}">
            <xm:f>'Budget Summary'!$L$103&lt;'Budget Summary'!$L$104</xm:f>
            <x14:dxf>
              <font>
                <color rgb="FFFF0000"/>
              </font>
            </x14:dxf>
          </x14:cfRule>
          <xm:sqref>A63:L63</xm:sqref>
        </x14:conditionalFormatting>
        <x14:conditionalFormatting xmlns:xm="http://schemas.microsoft.com/office/excel/2006/main">
          <x14:cfRule type="expression" priority="3" stopIfTrue="1" id="{0E1AF3E0-93EE-4AB5-A918-1F3E81931FCA}">
            <xm:f>'rates, dates, etc'!$B$8="Yes"</xm:f>
            <x14:dxf>
              <font>
                <color rgb="FFFF0000"/>
              </font>
            </x14:dxf>
          </x14:cfRule>
          <x14:cfRule type="expression" priority="4" id="{8146D0D4-A308-4C53-A066-586741C111A6}">
            <xm:f>'Budget Summary'!$L$104&lt;'Budget Summary'!$L$103</xm:f>
            <x14:dxf>
              <font>
                <color rgb="FFFF0000"/>
              </font>
            </x14:dxf>
          </x14:cfRule>
          <xm:sqref>A64:L64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T66"/>
  <sheetViews>
    <sheetView zoomScale="130" zoomScaleNormal="130" workbookViewId="0"/>
  </sheetViews>
  <sheetFormatPr defaultColWidth="9.140625" defaultRowHeight="11.25" x14ac:dyDescent="0.2"/>
  <cols>
    <col min="1" max="1" width="33.42578125" style="1" customWidth="1"/>
    <col min="2" max="11" width="8.42578125" style="1" customWidth="1"/>
    <col min="12" max="12" width="9.5703125" style="2" bestFit="1" customWidth="1"/>
    <col min="13" max="13" width="9.7109375" style="2" customWidth="1"/>
    <col min="14" max="14" width="18.5703125" style="2" bestFit="1" customWidth="1"/>
    <col min="15" max="15" width="6.85546875" style="2" bestFit="1" customWidth="1"/>
    <col min="16" max="16" width="9.85546875" style="2" customWidth="1"/>
    <col min="17" max="18" width="9.7109375" style="1" customWidth="1"/>
    <col min="19" max="16384" width="9.140625" style="1"/>
  </cols>
  <sheetData>
    <row r="1" spans="1:19" ht="12.75" x14ac:dyDescent="0.2">
      <c r="A1" s="67">
        <f>+'Lead Budget'!A1</f>
        <v>0</v>
      </c>
    </row>
    <row r="2" spans="1:19" ht="12.75" x14ac:dyDescent="0.2">
      <c r="A2" s="67" t="str">
        <f>+'Lead Budget'!A2</f>
        <v>NSF</v>
      </c>
    </row>
    <row r="3" spans="1:19" ht="12.75" customHeight="1" thickBot="1" x14ac:dyDescent="0.25"/>
    <row r="4" spans="1:19" x14ac:dyDescent="0.2">
      <c r="A4" s="68"/>
      <c r="B4" s="246" t="s">
        <v>1</v>
      </c>
      <c r="C4" s="246" t="s">
        <v>2</v>
      </c>
      <c r="D4" s="246" t="s">
        <v>3</v>
      </c>
      <c r="E4" s="246" t="s">
        <v>39</v>
      </c>
      <c r="F4" s="246" t="s">
        <v>45</v>
      </c>
      <c r="G4" s="246" t="s">
        <v>183</v>
      </c>
      <c r="H4" s="246" t="s">
        <v>184</v>
      </c>
      <c r="I4" s="246" t="s">
        <v>185</v>
      </c>
      <c r="J4" s="246" t="s">
        <v>186</v>
      </c>
      <c r="K4" s="246" t="s">
        <v>187</v>
      </c>
      <c r="L4" s="242"/>
    </row>
    <row r="5" spans="1:19" ht="12" thickBot="1" x14ac:dyDescent="0.25">
      <c r="A5" s="68" t="str">
        <f ca="1">""&amp;MID('rates, dates, etc'!AR8,FIND("]",'rates, dates, etc'!AR8)+1,25)</f>
        <v>Consortium 1</v>
      </c>
      <c r="B5" s="243">
        <f>+'Lead Budget'!B5</f>
        <v>45658</v>
      </c>
      <c r="C5" s="243">
        <f>+'Lead Budget'!C5</f>
        <v>46023</v>
      </c>
      <c r="D5" s="243">
        <f>+'Lead Budget'!D5</f>
        <v>46388</v>
      </c>
      <c r="E5" s="243">
        <f>+'Lead Budget'!E5</f>
        <v>46753</v>
      </c>
      <c r="F5" s="243">
        <f>+'Lead Budget'!F5</f>
        <v>47119</v>
      </c>
      <c r="G5" s="243">
        <f>+'Lead Budget'!G5</f>
        <v>47484</v>
      </c>
      <c r="H5" s="243">
        <f>+'Lead Budget'!H5</f>
        <v>47849</v>
      </c>
      <c r="I5" s="243">
        <f>+'Lead Budget'!I5</f>
        <v>48214</v>
      </c>
      <c r="J5" s="243">
        <f>+'Lead Budget'!J5</f>
        <v>48580</v>
      </c>
      <c r="K5" s="243">
        <f>+'Lead Budget'!K5</f>
        <v>48945</v>
      </c>
      <c r="L5" s="244"/>
    </row>
    <row r="6" spans="1:19" ht="12" thickBot="1" x14ac:dyDescent="0.25">
      <c r="A6" s="71" t="s">
        <v>4</v>
      </c>
      <c r="B6" s="264">
        <f>+'Lead Budget'!B6</f>
        <v>46022</v>
      </c>
      <c r="C6" s="245">
        <f>+'Lead Budget'!C6</f>
        <v>46387</v>
      </c>
      <c r="D6" s="245">
        <f>+'Lead Budget'!D6</f>
        <v>46752</v>
      </c>
      <c r="E6" s="245">
        <f>+'Lead Budget'!E6</f>
        <v>47118</v>
      </c>
      <c r="F6" s="245">
        <f>+'Lead Budget'!F6</f>
        <v>47483</v>
      </c>
      <c r="G6" s="245">
        <f>+'Lead Budget'!G6</f>
        <v>47848</v>
      </c>
      <c r="H6" s="245">
        <f>+'Lead Budget'!H6</f>
        <v>48213</v>
      </c>
      <c r="I6" s="245">
        <f>+'Lead Budget'!I6</f>
        <v>48579</v>
      </c>
      <c r="J6" s="245">
        <f>+'Lead Budget'!J6</f>
        <v>48944</v>
      </c>
      <c r="K6" s="245">
        <f>+'Lead Budget'!K6</f>
        <v>49309</v>
      </c>
      <c r="L6" s="262" t="s">
        <v>5</v>
      </c>
    </row>
    <row r="7" spans="1:19" x14ac:dyDescent="0.2">
      <c r="A7" s="74" t="s">
        <v>111</v>
      </c>
      <c r="B7" s="17"/>
      <c r="C7" s="17"/>
      <c r="D7" s="4"/>
      <c r="E7" s="4"/>
      <c r="F7" s="4"/>
      <c r="G7" s="4"/>
      <c r="H7" s="4"/>
      <c r="I7" s="4"/>
      <c r="J7" s="4"/>
      <c r="K7" s="4"/>
      <c r="L7" s="83" t="s">
        <v>6</v>
      </c>
    </row>
    <row r="8" spans="1:19" x14ac:dyDescent="0.2">
      <c r="A8" s="3" t="s">
        <v>65</v>
      </c>
      <c r="B8" s="342">
        <v>0</v>
      </c>
      <c r="C8" s="342">
        <v>0</v>
      </c>
      <c r="D8" s="342">
        <v>0</v>
      </c>
      <c r="E8" s="342">
        <v>0</v>
      </c>
      <c r="F8" s="342">
        <v>0</v>
      </c>
      <c r="G8" s="342">
        <v>0</v>
      </c>
      <c r="H8" s="342">
        <v>0</v>
      </c>
      <c r="I8" s="342">
        <v>0</v>
      </c>
      <c r="J8" s="342">
        <v>0</v>
      </c>
      <c r="K8" s="342">
        <v>0</v>
      </c>
      <c r="L8" s="83">
        <f>SUM(B8:K8)</f>
        <v>0</v>
      </c>
      <c r="S8" s="5"/>
    </row>
    <row r="9" spans="1:19" x14ac:dyDescent="0.2">
      <c r="A9" s="3" t="s">
        <v>57</v>
      </c>
      <c r="B9" s="342">
        <v>0</v>
      </c>
      <c r="C9" s="342">
        <v>0</v>
      </c>
      <c r="D9" s="342">
        <v>0</v>
      </c>
      <c r="E9" s="342">
        <v>0</v>
      </c>
      <c r="F9" s="342">
        <v>0</v>
      </c>
      <c r="G9" s="342">
        <v>0</v>
      </c>
      <c r="H9" s="342">
        <v>0</v>
      </c>
      <c r="I9" s="342">
        <v>0</v>
      </c>
      <c r="J9" s="342">
        <v>0</v>
      </c>
      <c r="K9" s="342">
        <v>0</v>
      </c>
      <c r="L9" s="83">
        <f>SUM(B9:K9)</f>
        <v>0</v>
      </c>
    </row>
    <row r="10" spans="1:19" x14ac:dyDescent="0.2">
      <c r="A10" s="3" t="s">
        <v>195</v>
      </c>
      <c r="B10" s="342">
        <v>0</v>
      </c>
      <c r="C10" s="342">
        <v>0</v>
      </c>
      <c r="D10" s="342">
        <v>0</v>
      </c>
      <c r="E10" s="342">
        <v>0</v>
      </c>
      <c r="F10" s="342">
        <v>0</v>
      </c>
      <c r="G10" s="342">
        <v>0</v>
      </c>
      <c r="H10" s="342">
        <v>0</v>
      </c>
      <c r="I10" s="342">
        <v>0</v>
      </c>
      <c r="J10" s="342">
        <v>0</v>
      </c>
      <c r="K10" s="342">
        <v>0</v>
      </c>
      <c r="L10" s="83">
        <f t="shared" ref="L10:L11" si="0">SUM(B10:K10)</f>
        <v>0</v>
      </c>
    </row>
    <row r="11" spans="1:19" x14ac:dyDescent="0.2">
      <c r="A11" s="3" t="s">
        <v>196</v>
      </c>
      <c r="B11" s="342">
        <v>0</v>
      </c>
      <c r="C11" s="342">
        <v>0</v>
      </c>
      <c r="D11" s="342">
        <v>0</v>
      </c>
      <c r="E11" s="342">
        <v>0</v>
      </c>
      <c r="F11" s="342">
        <v>0</v>
      </c>
      <c r="G11" s="342">
        <v>0</v>
      </c>
      <c r="H11" s="342">
        <v>0</v>
      </c>
      <c r="I11" s="342">
        <v>0</v>
      </c>
      <c r="J11" s="342">
        <v>0</v>
      </c>
      <c r="K11" s="342">
        <v>0</v>
      </c>
      <c r="L11" s="83">
        <f t="shared" si="0"/>
        <v>0</v>
      </c>
    </row>
    <row r="12" spans="1:19" ht="12" thickBot="1" x14ac:dyDescent="0.25">
      <c r="A12" s="76" t="str">
        <f>CONCATENATE("Total ",A7)</f>
        <v>Total Senior Personnel Salary</v>
      </c>
      <c r="B12" s="6">
        <f>SUM(B7:B11)</f>
        <v>0</v>
      </c>
      <c r="C12" s="6">
        <f t="shared" ref="C12:K12" si="1">SUM(C7:C11)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86">
        <f>SUM(L7:L11)</f>
        <v>0</v>
      </c>
    </row>
    <row r="13" spans="1:19" x14ac:dyDescent="0.2">
      <c r="A13" s="75" t="s">
        <v>112</v>
      </c>
      <c r="B13" s="17"/>
      <c r="C13" s="17"/>
      <c r="D13" s="4"/>
      <c r="E13" s="4"/>
      <c r="F13" s="4"/>
      <c r="G13" s="4"/>
      <c r="H13" s="4"/>
      <c r="I13" s="4"/>
      <c r="J13" s="4"/>
      <c r="K13" s="4"/>
      <c r="L13" s="83"/>
    </row>
    <row r="14" spans="1:19" x14ac:dyDescent="0.2">
      <c r="A14" s="3" t="s">
        <v>72</v>
      </c>
      <c r="B14" s="342">
        <v>0</v>
      </c>
      <c r="C14" s="342">
        <v>0</v>
      </c>
      <c r="D14" s="342">
        <v>0</v>
      </c>
      <c r="E14" s="342">
        <v>0</v>
      </c>
      <c r="F14" s="342">
        <v>0</v>
      </c>
      <c r="G14" s="342">
        <v>0</v>
      </c>
      <c r="H14" s="342">
        <v>0</v>
      </c>
      <c r="I14" s="342">
        <v>0</v>
      </c>
      <c r="J14" s="342">
        <v>0</v>
      </c>
      <c r="K14" s="342">
        <v>0</v>
      </c>
      <c r="L14" s="83">
        <f>SUM(B14:K14)</f>
        <v>0</v>
      </c>
    </row>
    <row r="15" spans="1:19" x14ac:dyDescent="0.2">
      <c r="A15" s="3" t="s">
        <v>70</v>
      </c>
      <c r="B15" s="342">
        <v>0</v>
      </c>
      <c r="C15" s="342">
        <v>0</v>
      </c>
      <c r="D15" s="342">
        <v>0</v>
      </c>
      <c r="E15" s="342">
        <v>0</v>
      </c>
      <c r="F15" s="342">
        <v>0</v>
      </c>
      <c r="G15" s="342">
        <v>0</v>
      </c>
      <c r="H15" s="342">
        <v>0</v>
      </c>
      <c r="I15" s="342">
        <v>0</v>
      </c>
      <c r="J15" s="342">
        <v>0</v>
      </c>
      <c r="K15" s="342">
        <v>0</v>
      </c>
      <c r="L15" s="83">
        <f t="shared" ref="L15:L19" si="2">SUM(B15:K15)</f>
        <v>0</v>
      </c>
    </row>
    <row r="16" spans="1:19" x14ac:dyDescent="0.2">
      <c r="A16" s="3" t="s">
        <v>73</v>
      </c>
      <c r="B16" s="342">
        <v>0</v>
      </c>
      <c r="C16" s="342">
        <v>0</v>
      </c>
      <c r="D16" s="342">
        <v>0</v>
      </c>
      <c r="E16" s="342">
        <v>0</v>
      </c>
      <c r="F16" s="342">
        <v>0</v>
      </c>
      <c r="G16" s="342">
        <v>0</v>
      </c>
      <c r="H16" s="342">
        <v>0</v>
      </c>
      <c r="I16" s="342">
        <v>0</v>
      </c>
      <c r="J16" s="342">
        <v>0</v>
      </c>
      <c r="K16" s="342">
        <v>0</v>
      </c>
      <c r="L16" s="83">
        <f t="shared" si="2"/>
        <v>0</v>
      </c>
    </row>
    <row r="17" spans="1:20" x14ac:dyDescent="0.2">
      <c r="A17" s="3" t="s">
        <v>74</v>
      </c>
      <c r="B17" s="342">
        <v>0</v>
      </c>
      <c r="C17" s="342">
        <v>0</v>
      </c>
      <c r="D17" s="342">
        <v>0</v>
      </c>
      <c r="E17" s="342">
        <v>0</v>
      </c>
      <c r="F17" s="342">
        <v>0</v>
      </c>
      <c r="G17" s="342">
        <v>0</v>
      </c>
      <c r="H17" s="342">
        <v>0</v>
      </c>
      <c r="I17" s="342">
        <v>0</v>
      </c>
      <c r="J17" s="342">
        <v>0</v>
      </c>
      <c r="K17" s="342">
        <v>0</v>
      </c>
      <c r="L17" s="83">
        <f t="shared" si="2"/>
        <v>0</v>
      </c>
    </row>
    <row r="18" spans="1:20" x14ac:dyDescent="0.2">
      <c r="A18" s="3" t="s">
        <v>29</v>
      </c>
      <c r="B18" s="342">
        <v>0</v>
      </c>
      <c r="C18" s="342">
        <v>0</v>
      </c>
      <c r="D18" s="342">
        <v>0</v>
      </c>
      <c r="E18" s="342">
        <v>0</v>
      </c>
      <c r="F18" s="342">
        <v>0</v>
      </c>
      <c r="G18" s="342">
        <v>0</v>
      </c>
      <c r="H18" s="342">
        <v>0</v>
      </c>
      <c r="I18" s="342">
        <v>0</v>
      </c>
      <c r="J18" s="342">
        <v>0</v>
      </c>
      <c r="K18" s="342">
        <v>0</v>
      </c>
      <c r="L18" s="83">
        <f t="shared" si="2"/>
        <v>0</v>
      </c>
    </row>
    <row r="19" spans="1:20" x14ac:dyDescent="0.2">
      <c r="A19" s="3" t="s">
        <v>197</v>
      </c>
      <c r="B19" s="342">
        <v>0</v>
      </c>
      <c r="C19" s="342">
        <v>0</v>
      </c>
      <c r="D19" s="342">
        <v>0</v>
      </c>
      <c r="E19" s="342">
        <v>0</v>
      </c>
      <c r="F19" s="342">
        <v>0</v>
      </c>
      <c r="G19" s="342">
        <v>0</v>
      </c>
      <c r="H19" s="342">
        <v>0</v>
      </c>
      <c r="I19" s="342">
        <v>0</v>
      </c>
      <c r="J19" s="342">
        <v>0</v>
      </c>
      <c r="K19" s="342">
        <v>0</v>
      </c>
      <c r="L19" s="83">
        <f t="shared" si="2"/>
        <v>0</v>
      </c>
      <c r="S19" s="5"/>
      <c r="T19" s="5"/>
    </row>
    <row r="20" spans="1:20" ht="12" thickBot="1" x14ac:dyDescent="0.25">
      <c r="A20" s="76" t="str">
        <f>CONCATENATE("Total ",A13)</f>
        <v>Total Other Personnel Salary</v>
      </c>
      <c r="B20" s="6">
        <f>SUM(B13:B19)</f>
        <v>0</v>
      </c>
      <c r="C20" s="6">
        <f t="shared" ref="C20:K20" si="3">SUM(C13:C19)</f>
        <v>0</v>
      </c>
      <c r="D20" s="6">
        <f>SUM(D13:D19)</f>
        <v>0</v>
      </c>
      <c r="E20" s="6">
        <f>SUM(E13:E19)</f>
        <v>0</v>
      </c>
      <c r="F20" s="6">
        <f t="shared" si="3"/>
        <v>0</v>
      </c>
      <c r="G20" s="6">
        <f t="shared" si="3"/>
        <v>0</v>
      </c>
      <c r="H20" s="6">
        <f t="shared" si="3"/>
        <v>0</v>
      </c>
      <c r="I20" s="6">
        <f t="shared" si="3"/>
        <v>0</v>
      </c>
      <c r="J20" s="6">
        <f t="shared" si="3"/>
        <v>0</v>
      </c>
      <c r="K20" s="6">
        <f t="shared" si="3"/>
        <v>0</v>
      </c>
      <c r="L20" s="86">
        <f>SUM(L13:L19)</f>
        <v>0</v>
      </c>
    </row>
    <row r="21" spans="1:20" x14ac:dyDescent="0.2">
      <c r="A21" s="77" t="s">
        <v>7</v>
      </c>
      <c r="B21" s="17" t="s">
        <v>6</v>
      </c>
      <c r="C21" s="17"/>
      <c r="D21" s="4"/>
      <c r="E21" s="4"/>
      <c r="F21" s="4"/>
      <c r="G21" s="4"/>
      <c r="H21" s="4"/>
      <c r="I21" s="4"/>
      <c r="J21" s="4"/>
      <c r="K21" s="4"/>
      <c r="L21" s="83"/>
    </row>
    <row r="22" spans="1:20" x14ac:dyDescent="0.2">
      <c r="A22" s="3" t="str">
        <f>+A8</f>
        <v>PI</v>
      </c>
      <c r="B22" s="342">
        <v>0</v>
      </c>
      <c r="C22" s="342">
        <v>0</v>
      </c>
      <c r="D22" s="342">
        <v>0</v>
      </c>
      <c r="E22" s="342">
        <v>0</v>
      </c>
      <c r="F22" s="342">
        <v>0</v>
      </c>
      <c r="G22" s="342">
        <v>0</v>
      </c>
      <c r="H22" s="342">
        <v>0</v>
      </c>
      <c r="I22" s="342">
        <v>0</v>
      </c>
      <c r="J22" s="342">
        <v>0</v>
      </c>
      <c r="K22" s="342">
        <v>0</v>
      </c>
      <c r="L22" s="83">
        <f>SUM(B22:K22)</f>
        <v>0</v>
      </c>
    </row>
    <row r="23" spans="1:20" x14ac:dyDescent="0.2">
      <c r="A23" s="3" t="s">
        <v>57</v>
      </c>
      <c r="B23" s="342">
        <v>0</v>
      </c>
      <c r="C23" s="342">
        <v>0</v>
      </c>
      <c r="D23" s="342">
        <v>0</v>
      </c>
      <c r="E23" s="342">
        <v>0</v>
      </c>
      <c r="F23" s="342">
        <v>0</v>
      </c>
      <c r="G23" s="342">
        <v>0</v>
      </c>
      <c r="H23" s="342">
        <v>0</v>
      </c>
      <c r="I23" s="342">
        <v>0</v>
      </c>
      <c r="J23" s="342">
        <v>0</v>
      </c>
      <c r="K23" s="342">
        <v>0</v>
      </c>
      <c r="L23" s="83">
        <f t="shared" ref="L23:L28" si="4">SUM(B23:K23)</f>
        <v>0</v>
      </c>
    </row>
    <row r="24" spans="1:20" x14ac:dyDescent="0.2">
      <c r="A24" s="3" t="s">
        <v>195</v>
      </c>
      <c r="B24" s="342">
        <v>0</v>
      </c>
      <c r="C24" s="342">
        <v>0</v>
      </c>
      <c r="D24" s="342">
        <v>0</v>
      </c>
      <c r="E24" s="342">
        <v>0</v>
      </c>
      <c r="F24" s="342">
        <v>0</v>
      </c>
      <c r="G24" s="342">
        <v>0</v>
      </c>
      <c r="H24" s="342">
        <v>0</v>
      </c>
      <c r="I24" s="342">
        <v>0</v>
      </c>
      <c r="J24" s="342">
        <v>0</v>
      </c>
      <c r="K24" s="342">
        <v>0</v>
      </c>
      <c r="L24" s="83">
        <f t="shared" si="4"/>
        <v>0</v>
      </c>
    </row>
    <row r="25" spans="1:20" x14ac:dyDescent="0.2">
      <c r="A25" s="3" t="s">
        <v>196</v>
      </c>
      <c r="B25" s="342">
        <v>0</v>
      </c>
      <c r="C25" s="342">
        <v>0</v>
      </c>
      <c r="D25" s="342">
        <v>0</v>
      </c>
      <c r="E25" s="342">
        <v>0</v>
      </c>
      <c r="F25" s="342">
        <v>0</v>
      </c>
      <c r="G25" s="342">
        <v>0</v>
      </c>
      <c r="H25" s="342">
        <v>0</v>
      </c>
      <c r="I25" s="342">
        <v>0</v>
      </c>
      <c r="J25" s="342">
        <v>0</v>
      </c>
      <c r="K25" s="342">
        <v>0</v>
      </c>
      <c r="L25" s="83">
        <f t="shared" si="4"/>
        <v>0</v>
      </c>
    </row>
    <row r="26" spans="1:20" x14ac:dyDescent="0.2">
      <c r="A26" s="3" t="s">
        <v>72</v>
      </c>
      <c r="B26" s="342">
        <v>0</v>
      </c>
      <c r="C26" s="342">
        <v>0</v>
      </c>
      <c r="D26" s="342">
        <v>0</v>
      </c>
      <c r="E26" s="342">
        <v>0</v>
      </c>
      <c r="F26" s="342">
        <v>0</v>
      </c>
      <c r="G26" s="342">
        <v>0</v>
      </c>
      <c r="H26" s="342">
        <v>0</v>
      </c>
      <c r="I26" s="342">
        <v>0</v>
      </c>
      <c r="J26" s="342">
        <v>0</v>
      </c>
      <c r="K26" s="342">
        <v>0</v>
      </c>
      <c r="L26" s="83">
        <f t="shared" si="4"/>
        <v>0</v>
      </c>
    </row>
    <row r="27" spans="1:20" x14ac:dyDescent="0.2">
      <c r="A27" s="3" t="s">
        <v>74</v>
      </c>
      <c r="B27" s="342">
        <v>0</v>
      </c>
      <c r="C27" s="342">
        <v>0</v>
      </c>
      <c r="D27" s="342">
        <v>0</v>
      </c>
      <c r="E27" s="342">
        <v>0</v>
      </c>
      <c r="F27" s="342">
        <v>0</v>
      </c>
      <c r="G27" s="342">
        <v>0</v>
      </c>
      <c r="H27" s="342">
        <v>0</v>
      </c>
      <c r="I27" s="342">
        <v>0</v>
      </c>
      <c r="J27" s="342">
        <v>0</v>
      </c>
      <c r="K27" s="342">
        <v>0</v>
      </c>
      <c r="L27" s="83">
        <f t="shared" si="4"/>
        <v>0</v>
      </c>
      <c r="S27" s="5"/>
      <c r="T27" s="5"/>
    </row>
    <row r="28" spans="1:20" x14ac:dyDescent="0.2">
      <c r="A28" s="3" t="s">
        <v>29</v>
      </c>
      <c r="B28" s="342">
        <v>0</v>
      </c>
      <c r="C28" s="342">
        <v>0</v>
      </c>
      <c r="D28" s="342">
        <v>0</v>
      </c>
      <c r="E28" s="342">
        <v>0</v>
      </c>
      <c r="F28" s="342">
        <v>0</v>
      </c>
      <c r="G28" s="342">
        <v>0</v>
      </c>
      <c r="H28" s="342">
        <v>0</v>
      </c>
      <c r="I28" s="342">
        <v>0</v>
      </c>
      <c r="J28" s="342">
        <v>0</v>
      </c>
      <c r="K28" s="342">
        <v>0</v>
      </c>
      <c r="L28" s="83">
        <f t="shared" si="4"/>
        <v>0</v>
      </c>
      <c r="S28" s="5"/>
      <c r="T28" s="5"/>
    </row>
    <row r="29" spans="1:20" ht="12" thickBot="1" x14ac:dyDescent="0.25">
      <c r="A29" s="76" t="s">
        <v>79</v>
      </c>
      <c r="B29" s="6">
        <f>SUM(B21:B28)</f>
        <v>0</v>
      </c>
      <c r="C29" s="6">
        <f>SUM(C21:C28)</f>
        <v>0</v>
      </c>
      <c r="D29" s="6">
        <f>SUM(D21:D28)</f>
        <v>0</v>
      </c>
      <c r="E29" s="6">
        <f>SUM(E21:E28)</f>
        <v>0</v>
      </c>
      <c r="F29" s="6">
        <f>SUM(F21:F28)</f>
        <v>0</v>
      </c>
      <c r="G29" s="6">
        <f t="shared" ref="G29:K29" si="5">SUM(G21:G28)</f>
        <v>0</v>
      </c>
      <c r="H29" s="6">
        <f t="shared" si="5"/>
        <v>0</v>
      </c>
      <c r="I29" s="6">
        <f t="shared" si="5"/>
        <v>0</v>
      </c>
      <c r="J29" s="6">
        <f t="shared" si="5"/>
        <v>0</v>
      </c>
      <c r="K29" s="6">
        <f t="shared" si="5"/>
        <v>0</v>
      </c>
      <c r="L29" s="86">
        <f>SUM(L21:L28)</f>
        <v>0</v>
      </c>
      <c r="S29" s="5"/>
      <c r="T29" s="5"/>
    </row>
    <row r="30" spans="1:20" ht="12" thickBot="1" x14ac:dyDescent="0.25">
      <c r="A30" s="130" t="s">
        <v>108</v>
      </c>
      <c r="B30" s="131">
        <f>+B12+B20+B29</f>
        <v>0</v>
      </c>
      <c r="C30" s="131">
        <f>+C12+C20+C29</f>
        <v>0</v>
      </c>
      <c r="D30" s="131">
        <f>+D12+D20+D29</f>
        <v>0</v>
      </c>
      <c r="E30" s="131">
        <f>+E12+E20+E29</f>
        <v>0</v>
      </c>
      <c r="F30" s="131">
        <f>+F12+F20+F29</f>
        <v>0</v>
      </c>
      <c r="G30" s="131">
        <f t="shared" ref="G30:K30" si="6">+G12+G20+G29</f>
        <v>0</v>
      </c>
      <c r="H30" s="131">
        <f t="shared" si="6"/>
        <v>0</v>
      </c>
      <c r="I30" s="131">
        <f t="shared" si="6"/>
        <v>0</v>
      </c>
      <c r="J30" s="131">
        <f t="shared" si="6"/>
        <v>0</v>
      </c>
      <c r="K30" s="131">
        <f t="shared" si="6"/>
        <v>0</v>
      </c>
      <c r="L30" s="132">
        <f>+L12+L20+L29</f>
        <v>0</v>
      </c>
      <c r="S30" s="5"/>
      <c r="T30" s="5"/>
    </row>
    <row r="31" spans="1:20" x14ac:dyDescent="0.2">
      <c r="A31" s="77" t="s">
        <v>25</v>
      </c>
      <c r="B31" s="17"/>
      <c r="C31" s="17"/>
      <c r="D31" s="4"/>
      <c r="E31" s="4"/>
      <c r="F31" s="4"/>
      <c r="G31" s="4"/>
      <c r="H31" s="4"/>
      <c r="I31" s="4"/>
      <c r="J31" s="4"/>
      <c r="K31" s="4"/>
      <c r="L31" s="83"/>
      <c r="S31" s="5"/>
      <c r="T31" s="5"/>
    </row>
    <row r="32" spans="1:20" x14ac:dyDescent="0.2">
      <c r="A32" s="3" t="s">
        <v>62</v>
      </c>
      <c r="B32" s="342">
        <v>0</v>
      </c>
      <c r="C32" s="342">
        <v>0</v>
      </c>
      <c r="D32" s="342">
        <v>0</v>
      </c>
      <c r="E32" s="342">
        <v>0</v>
      </c>
      <c r="F32" s="342">
        <v>0</v>
      </c>
      <c r="G32" s="342">
        <v>0</v>
      </c>
      <c r="H32" s="342">
        <v>0</v>
      </c>
      <c r="I32" s="342">
        <v>0</v>
      </c>
      <c r="J32" s="342">
        <v>0</v>
      </c>
      <c r="K32" s="342">
        <v>0</v>
      </c>
      <c r="L32" s="83">
        <f>SUM(B32:K32)</f>
        <v>0</v>
      </c>
    </row>
    <row r="33" spans="1:20" x14ac:dyDescent="0.2">
      <c r="A33" s="3" t="s">
        <v>29</v>
      </c>
      <c r="B33" s="342">
        <v>0</v>
      </c>
      <c r="C33" s="342">
        <v>0</v>
      </c>
      <c r="D33" s="342">
        <v>0</v>
      </c>
      <c r="E33" s="342">
        <v>0</v>
      </c>
      <c r="F33" s="342">
        <v>0</v>
      </c>
      <c r="G33" s="342">
        <v>0</v>
      </c>
      <c r="H33" s="342">
        <v>0</v>
      </c>
      <c r="I33" s="342">
        <v>0</v>
      </c>
      <c r="J33" s="342">
        <v>0</v>
      </c>
      <c r="K33" s="342">
        <v>0</v>
      </c>
      <c r="L33" s="83">
        <f>SUM(B33:K33)</f>
        <v>0</v>
      </c>
    </row>
    <row r="34" spans="1:20" ht="12" thickBot="1" x14ac:dyDescent="0.25">
      <c r="A34" s="76" t="s">
        <v>26</v>
      </c>
      <c r="B34" s="6">
        <f>SUM(B31:B33)</f>
        <v>0</v>
      </c>
      <c r="C34" s="6">
        <f>SUM(C31:C33)</f>
        <v>0</v>
      </c>
      <c r="D34" s="6">
        <f>SUM(D31:D33)</f>
        <v>0</v>
      </c>
      <c r="E34" s="6">
        <f t="shared" ref="E34:K34" si="7">SUM(E31:E33)</f>
        <v>0</v>
      </c>
      <c r="F34" s="6">
        <f t="shared" si="7"/>
        <v>0</v>
      </c>
      <c r="G34" s="6">
        <f t="shared" si="7"/>
        <v>0</v>
      </c>
      <c r="H34" s="6">
        <f t="shared" si="7"/>
        <v>0</v>
      </c>
      <c r="I34" s="6">
        <f t="shared" si="7"/>
        <v>0</v>
      </c>
      <c r="J34" s="6">
        <f t="shared" si="7"/>
        <v>0</v>
      </c>
      <c r="K34" s="6">
        <f t="shared" si="7"/>
        <v>0</v>
      </c>
      <c r="L34" s="86">
        <f>SUM(L31:L33)</f>
        <v>0</v>
      </c>
    </row>
    <row r="35" spans="1:20" x14ac:dyDescent="0.2">
      <c r="A35" s="77" t="s">
        <v>34</v>
      </c>
      <c r="B35" s="17"/>
      <c r="C35" s="17"/>
      <c r="D35" s="4"/>
      <c r="E35" s="4"/>
      <c r="F35" s="4"/>
      <c r="G35" s="4"/>
      <c r="H35" s="4"/>
      <c r="I35" s="4"/>
      <c r="J35" s="4"/>
      <c r="K35" s="4"/>
      <c r="L35" s="83"/>
    </row>
    <row r="36" spans="1:20" x14ac:dyDescent="0.2">
      <c r="A36" s="3" t="s">
        <v>10</v>
      </c>
      <c r="B36" s="342">
        <v>0</v>
      </c>
      <c r="C36" s="342">
        <v>0</v>
      </c>
      <c r="D36" s="342">
        <v>0</v>
      </c>
      <c r="E36" s="342">
        <v>0</v>
      </c>
      <c r="F36" s="342">
        <v>0</v>
      </c>
      <c r="G36" s="342">
        <v>0</v>
      </c>
      <c r="H36" s="342">
        <v>0</v>
      </c>
      <c r="I36" s="342">
        <v>0</v>
      </c>
      <c r="J36" s="342">
        <v>0</v>
      </c>
      <c r="K36" s="342">
        <v>0</v>
      </c>
      <c r="L36" s="83">
        <f>SUM(B36:K36)</f>
        <v>0</v>
      </c>
      <c r="S36" s="5"/>
      <c r="T36" s="5"/>
    </row>
    <row r="37" spans="1:20" x14ac:dyDescent="0.2">
      <c r="A37" s="3" t="s">
        <v>11</v>
      </c>
      <c r="B37" s="342">
        <v>0</v>
      </c>
      <c r="C37" s="342">
        <v>0</v>
      </c>
      <c r="D37" s="342">
        <v>0</v>
      </c>
      <c r="E37" s="342">
        <v>0</v>
      </c>
      <c r="F37" s="342">
        <v>0</v>
      </c>
      <c r="G37" s="342">
        <v>0</v>
      </c>
      <c r="H37" s="342">
        <v>0</v>
      </c>
      <c r="I37" s="342">
        <v>0</v>
      </c>
      <c r="J37" s="342">
        <v>0</v>
      </c>
      <c r="K37" s="342">
        <v>0</v>
      </c>
      <c r="L37" s="83">
        <f>SUM(B37:K37)</f>
        <v>0</v>
      </c>
      <c r="S37" s="5"/>
      <c r="T37" s="5"/>
    </row>
    <row r="38" spans="1:20" ht="12" thickBot="1" x14ac:dyDescent="0.25">
      <c r="A38" s="76" t="s">
        <v>12</v>
      </c>
      <c r="B38" s="6">
        <f>SUM(B35:B37)</f>
        <v>0</v>
      </c>
      <c r="C38" s="6">
        <f>SUM(C35:C37)</f>
        <v>0</v>
      </c>
      <c r="D38" s="6">
        <f>SUM(D35:D37)</f>
        <v>0</v>
      </c>
      <c r="E38" s="6">
        <f t="shared" ref="E38:K38" si="8">SUM(E35:E37)</f>
        <v>0</v>
      </c>
      <c r="F38" s="6">
        <f t="shared" si="8"/>
        <v>0</v>
      </c>
      <c r="G38" s="6">
        <f t="shared" si="8"/>
        <v>0</v>
      </c>
      <c r="H38" s="6">
        <f t="shared" si="8"/>
        <v>0</v>
      </c>
      <c r="I38" s="6">
        <f t="shared" si="8"/>
        <v>0</v>
      </c>
      <c r="J38" s="6">
        <f t="shared" si="8"/>
        <v>0</v>
      </c>
      <c r="K38" s="6">
        <f t="shared" si="8"/>
        <v>0</v>
      </c>
      <c r="L38" s="86">
        <f>SUM(L35:L37)</f>
        <v>0</v>
      </c>
      <c r="S38" s="5"/>
      <c r="T38" s="5"/>
    </row>
    <row r="39" spans="1:20" x14ac:dyDescent="0.2">
      <c r="A39" s="77" t="s">
        <v>27</v>
      </c>
      <c r="B39" s="17"/>
      <c r="C39" s="17"/>
      <c r="D39" s="4"/>
      <c r="E39" s="4"/>
      <c r="F39" s="4"/>
      <c r="G39" s="4"/>
      <c r="H39" s="4"/>
      <c r="I39" s="4"/>
      <c r="J39" s="4"/>
      <c r="K39" s="4"/>
      <c r="L39" s="83"/>
      <c r="S39" s="5"/>
      <c r="T39" s="5"/>
    </row>
    <row r="40" spans="1:20" x14ac:dyDescent="0.2">
      <c r="A40" s="3" t="s">
        <v>75</v>
      </c>
      <c r="B40" s="342">
        <v>0</v>
      </c>
      <c r="C40" s="342">
        <v>0</v>
      </c>
      <c r="D40" s="342">
        <v>0</v>
      </c>
      <c r="E40" s="342">
        <v>0</v>
      </c>
      <c r="F40" s="342">
        <v>0</v>
      </c>
      <c r="G40" s="342">
        <v>0</v>
      </c>
      <c r="H40" s="342">
        <v>0</v>
      </c>
      <c r="I40" s="342">
        <v>0</v>
      </c>
      <c r="J40" s="342">
        <v>0</v>
      </c>
      <c r="K40" s="342">
        <v>0</v>
      </c>
      <c r="L40" s="83">
        <f>SUM(B40:K40)</f>
        <v>0</v>
      </c>
      <c r="S40" s="5"/>
      <c r="T40" s="5"/>
    </row>
    <row r="41" spans="1:20" x14ac:dyDescent="0.2">
      <c r="A41" s="3" t="s">
        <v>42</v>
      </c>
      <c r="B41" s="342">
        <v>0</v>
      </c>
      <c r="C41" s="342">
        <v>0</v>
      </c>
      <c r="D41" s="342">
        <v>0</v>
      </c>
      <c r="E41" s="342">
        <v>0</v>
      </c>
      <c r="F41" s="342">
        <v>0</v>
      </c>
      <c r="G41" s="342">
        <v>0</v>
      </c>
      <c r="H41" s="342">
        <v>0</v>
      </c>
      <c r="I41" s="342">
        <v>0</v>
      </c>
      <c r="J41" s="342">
        <v>0</v>
      </c>
      <c r="K41" s="342">
        <v>0</v>
      </c>
      <c r="L41" s="83">
        <f t="shared" ref="L41:L44" si="9">SUM(B41:K41)</f>
        <v>0</v>
      </c>
      <c r="S41" s="5"/>
      <c r="T41" s="5"/>
    </row>
    <row r="42" spans="1:20" x14ac:dyDescent="0.2">
      <c r="A42" s="3" t="s">
        <v>34</v>
      </c>
      <c r="B42" s="342">
        <v>0</v>
      </c>
      <c r="C42" s="342">
        <v>0</v>
      </c>
      <c r="D42" s="342">
        <v>0</v>
      </c>
      <c r="E42" s="342">
        <v>0</v>
      </c>
      <c r="F42" s="342">
        <v>0</v>
      </c>
      <c r="G42" s="342">
        <v>0</v>
      </c>
      <c r="H42" s="342">
        <v>0</v>
      </c>
      <c r="I42" s="342">
        <v>0</v>
      </c>
      <c r="J42" s="342">
        <v>0</v>
      </c>
      <c r="K42" s="342">
        <v>0</v>
      </c>
      <c r="L42" s="83">
        <f t="shared" si="9"/>
        <v>0</v>
      </c>
    </row>
    <row r="43" spans="1:20" x14ac:dyDescent="0.2">
      <c r="A43" s="3" t="s">
        <v>43</v>
      </c>
      <c r="B43" s="342">
        <v>0</v>
      </c>
      <c r="C43" s="342">
        <v>0</v>
      </c>
      <c r="D43" s="342">
        <v>0</v>
      </c>
      <c r="E43" s="342">
        <v>0</v>
      </c>
      <c r="F43" s="342">
        <v>0</v>
      </c>
      <c r="G43" s="342">
        <v>0</v>
      </c>
      <c r="H43" s="342">
        <v>0</v>
      </c>
      <c r="I43" s="342">
        <v>0</v>
      </c>
      <c r="J43" s="342">
        <v>0</v>
      </c>
      <c r="K43" s="342">
        <v>0</v>
      </c>
      <c r="L43" s="83">
        <f t="shared" si="9"/>
        <v>0</v>
      </c>
    </row>
    <row r="44" spans="1:20" x14ac:dyDescent="0.2">
      <c r="A44" s="3" t="s">
        <v>29</v>
      </c>
      <c r="B44" s="342">
        <v>0</v>
      </c>
      <c r="C44" s="342">
        <v>0</v>
      </c>
      <c r="D44" s="342">
        <v>0</v>
      </c>
      <c r="E44" s="342">
        <v>0</v>
      </c>
      <c r="F44" s="342">
        <v>0</v>
      </c>
      <c r="G44" s="342">
        <v>0</v>
      </c>
      <c r="H44" s="342">
        <v>0</v>
      </c>
      <c r="I44" s="342">
        <v>0</v>
      </c>
      <c r="J44" s="342">
        <v>0</v>
      </c>
      <c r="K44" s="342">
        <v>0</v>
      </c>
      <c r="L44" s="83">
        <f t="shared" si="9"/>
        <v>0</v>
      </c>
    </row>
    <row r="45" spans="1:20" ht="12" thickBot="1" x14ac:dyDescent="0.25">
      <c r="A45" s="76" t="s">
        <v>28</v>
      </c>
      <c r="B45" s="6">
        <f>SUM(B39:B44)</f>
        <v>0</v>
      </c>
      <c r="C45" s="6">
        <f>SUM(C39:C44)</f>
        <v>0</v>
      </c>
      <c r="D45" s="6">
        <f>SUM(D39:D44)</f>
        <v>0</v>
      </c>
      <c r="E45" s="6">
        <f t="shared" ref="E45:K45" si="10">SUM(E39:E44)</f>
        <v>0</v>
      </c>
      <c r="F45" s="6">
        <f t="shared" si="10"/>
        <v>0</v>
      </c>
      <c r="G45" s="6">
        <f t="shared" si="10"/>
        <v>0</v>
      </c>
      <c r="H45" s="6">
        <f t="shared" si="10"/>
        <v>0</v>
      </c>
      <c r="I45" s="6">
        <f t="shared" si="10"/>
        <v>0</v>
      </c>
      <c r="J45" s="6">
        <f t="shared" si="10"/>
        <v>0</v>
      </c>
      <c r="K45" s="6">
        <f t="shared" si="10"/>
        <v>0</v>
      </c>
      <c r="L45" s="86">
        <f>SUM(L39:L44)</f>
        <v>0</v>
      </c>
    </row>
    <row r="46" spans="1:20" x14ac:dyDescent="0.2">
      <c r="A46" s="77" t="s">
        <v>13</v>
      </c>
      <c r="B46" s="17"/>
      <c r="C46" s="17"/>
      <c r="D46" s="4"/>
      <c r="E46" s="4"/>
      <c r="F46" s="4"/>
      <c r="G46" s="4"/>
      <c r="H46" s="4"/>
      <c r="I46" s="4"/>
      <c r="J46" s="4"/>
      <c r="K46" s="4"/>
      <c r="L46" s="83"/>
    </row>
    <row r="47" spans="1:20" x14ac:dyDescent="0.2">
      <c r="A47" s="3" t="s">
        <v>14</v>
      </c>
      <c r="B47" s="342">
        <v>0</v>
      </c>
      <c r="C47" s="342">
        <v>0</v>
      </c>
      <c r="D47" s="342">
        <v>0</v>
      </c>
      <c r="E47" s="342">
        <v>0</v>
      </c>
      <c r="F47" s="342">
        <v>0</v>
      </c>
      <c r="G47" s="342">
        <v>0</v>
      </c>
      <c r="H47" s="342">
        <v>0</v>
      </c>
      <c r="I47" s="342">
        <v>0</v>
      </c>
      <c r="J47" s="342">
        <v>0</v>
      </c>
      <c r="K47" s="342">
        <v>0</v>
      </c>
      <c r="L47" s="83">
        <f>SUM(B47:K47)</f>
        <v>0</v>
      </c>
    </row>
    <row r="48" spans="1:20" x14ac:dyDescent="0.2">
      <c r="A48" s="3" t="s">
        <v>76</v>
      </c>
      <c r="B48" s="342">
        <v>0</v>
      </c>
      <c r="C48" s="342">
        <v>0</v>
      </c>
      <c r="D48" s="342">
        <v>0</v>
      </c>
      <c r="E48" s="342">
        <v>0</v>
      </c>
      <c r="F48" s="342">
        <v>0</v>
      </c>
      <c r="G48" s="342">
        <v>0</v>
      </c>
      <c r="H48" s="342">
        <v>0</v>
      </c>
      <c r="I48" s="342">
        <v>0</v>
      </c>
      <c r="J48" s="342">
        <v>0</v>
      </c>
      <c r="K48" s="342">
        <v>0</v>
      </c>
      <c r="L48" s="83">
        <f t="shared" ref="L48:L53" si="11">SUM(B48:K48)</f>
        <v>0</v>
      </c>
    </row>
    <row r="49" spans="1:20" x14ac:dyDescent="0.2">
      <c r="A49" s="3" t="s">
        <v>15</v>
      </c>
      <c r="B49" s="342">
        <v>0</v>
      </c>
      <c r="C49" s="342">
        <v>0</v>
      </c>
      <c r="D49" s="342">
        <v>0</v>
      </c>
      <c r="E49" s="342">
        <v>0</v>
      </c>
      <c r="F49" s="342">
        <v>0</v>
      </c>
      <c r="G49" s="342">
        <v>0</v>
      </c>
      <c r="H49" s="342">
        <v>0</v>
      </c>
      <c r="I49" s="342">
        <v>0</v>
      </c>
      <c r="J49" s="342">
        <v>0</v>
      </c>
      <c r="K49" s="342">
        <v>0</v>
      </c>
      <c r="L49" s="83">
        <f t="shared" si="11"/>
        <v>0</v>
      </c>
    </row>
    <row r="50" spans="1:20" x14ac:dyDescent="0.2">
      <c r="A50" s="3" t="s">
        <v>77</v>
      </c>
      <c r="B50" s="342">
        <v>0</v>
      </c>
      <c r="C50" s="342">
        <v>0</v>
      </c>
      <c r="D50" s="342">
        <v>0</v>
      </c>
      <c r="E50" s="342">
        <v>0</v>
      </c>
      <c r="F50" s="342">
        <v>0</v>
      </c>
      <c r="G50" s="342">
        <v>0</v>
      </c>
      <c r="H50" s="342">
        <v>0</v>
      </c>
      <c r="I50" s="342">
        <v>0</v>
      </c>
      <c r="J50" s="342">
        <v>0</v>
      </c>
      <c r="K50" s="342">
        <v>0</v>
      </c>
      <c r="L50" s="83">
        <f t="shared" si="11"/>
        <v>0</v>
      </c>
    </row>
    <row r="51" spans="1:20" x14ac:dyDescent="0.2">
      <c r="A51" s="3" t="s">
        <v>41</v>
      </c>
      <c r="B51" s="342">
        <v>0</v>
      </c>
      <c r="C51" s="342">
        <v>0</v>
      </c>
      <c r="D51" s="342">
        <v>0</v>
      </c>
      <c r="E51" s="342">
        <v>0</v>
      </c>
      <c r="F51" s="342">
        <v>0</v>
      </c>
      <c r="G51" s="342">
        <v>0</v>
      </c>
      <c r="H51" s="342">
        <v>0</v>
      </c>
      <c r="I51" s="342">
        <v>0</v>
      </c>
      <c r="J51" s="342">
        <v>0</v>
      </c>
      <c r="K51" s="342">
        <v>0</v>
      </c>
      <c r="L51" s="83">
        <f t="shared" si="11"/>
        <v>0</v>
      </c>
    </row>
    <row r="52" spans="1:20" x14ac:dyDescent="0.2">
      <c r="A52" s="3" t="s">
        <v>78</v>
      </c>
      <c r="B52" s="342">
        <v>0</v>
      </c>
      <c r="C52" s="342">
        <v>0</v>
      </c>
      <c r="D52" s="342">
        <v>0</v>
      </c>
      <c r="E52" s="342">
        <v>0</v>
      </c>
      <c r="F52" s="342">
        <v>0</v>
      </c>
      <c r="G52" s="342">
        <v>0</v>
      </c>
      <c r="H52" s="342">
        <v>0</v>
      </c>
      <c r="I52" s="342">
        <v>0</v>
      </c>
      <c r="J52" s="342">
        <v>0</v>
      </c>
      <c r="K52" s="342">
        <v>0</v>
      </c>
      <c r="L52" s="83">
        <f t="shared" si="11"/>
        <v>0</v>
      </c>
    </row>
    <row r="53" spans="1:20" x14ac:dyDescent="0.2">
      <c r="A53" s="3" t="s">
        <v>29</v>
      </c>
      <c r="B53" s="342">
        <v>0</v>
      </c>
      <c r="C53" s="342">
        <v>0</v>
      </c>
      <c r="D53" s="342">
        <v>0</v>
      </c>
      <c r="E53" s="342">
        <v>0</v>
      </c>
      <c r="F53" s="342">
        <v>0</v>
      </c>
      <c r="G53" s="342">
        <v>0</v>
      </c>
      <c r="H53" s="342">
        <v>0</v>
      </c>
      <c r="I53" s="342">
        <v>0</v>
      </c>
      <c r="J53" s="342">
        <v>0</v>
      </c>
      <c r="K53" s="342">
        <v>0</v>
      </c>
      <c r="L53" s="83">
        <f t="shared" si="11"/>
        <v>0</v>
      </c>
    </row>
    <row r="54" spans="1:20" ht="12" thickBot="1" x14ac:dyDescent="0.25">
      <c r="A54" s="76" t="s">
        <v>80</v>
      </c>
      <c r="B54" s="6">
        <f t="shared" ref="B54:L54" si="12">SUM(B46:B53)</f>
        <v>0</v>
      </c>
      <c r="C54" s="6">
        <f t="shared" si="12"/>
        <v>0</v>
      </c>
      <c r="D54" s="6">
        <f t="shared" si="12"/>
        <v>0</v>
      </c>
      <c r="E54" s="6">
        <f t="shared" si="12"/>
        <v>0</v>
      </c>
      <c r="F54" s="6">
        <f t="shared" si="12"/>
        <v>0</v>
      </c>
      <c r="G54" s="6">
        <f t="shared" ref="G54:K54" si="13">SUM(G46:G53)</f>
        <v>0</v>
      </c>
      <c r="H54" s="6">
        <f t="shared" si="13"/>
        <v>0</v>
      </c>
      <c r="I54" s="6">
        <f t="shared" si="13"/>
        <v>0</v>
      </c>
      <c r="J54" s="6">
        <f t="shared" si="13"/>
        <v>0</v>
      </c>
      <c r="K54" s="6">
        <f t="shared" si="13"/>
        <v>0</v>
      </c>
      <c r="L54" s="86">
        <f t="shared" si="12"/>
        <v>0</v>
      </c>
      <c r="P54" s="1"/>
      <c r="S54" s="5"/>
      <c r="T54" s="5"/>
    </row>
    <row r="55" spans="1:20" ht="12" thickBot="1" x14ac:dyDescent="0.25">
      <c r="A55" s="98" t="s">
        <v>16</v>
      </c>
      <c r="B55" s="96">
        <f>SUM(+B12+B20+B29+B34+B38+B45+B54)</f>
        <v>0</v>
      </c>
      <c r="C55" s="96">
        <f>SUM(+C12+C20+C29+C34+C38+C45+C54)</f>
        <v>0</v>
      </c>
      <c r="D55" s="96">
        <f>SUM(+D12+D20+D29+D34+D38+D45+D54)</f>
        <v>0</v>
      </c>
      <c r="E55" s="96">
        <f>SUM(+E12+E20+E29+E34+E38+E45+E54)</f>
        <v>0</v>
      </c>
      <c r="F55" s="96">
        <f>SUM(+F12+F20+F29+F34+F38+F45+F54)</f>
        <v>0</v>
      </c>
      <c r="G55" s="96">
        <f t="shared" ref="G55:K55" si="14">SUM(+G12+G20+G29+G34+G38+G45+G54)</f>
        <v>0</v>
      </c>
      <c r="H55" s="96">
        <f t="shared" si="14"/>
        <v>0</v>
      </c>
      <c r="I55" s="96">
        <f t="shared" si="14"/>
        <v>0</v>
      </c>
      <c r="J55" s="96">
        <f t="shared" si="14"/>
        <v>0</v>
      </c>
      <c r="K55" s="96">
        <f t="shared" si="14"/>
        <v>0</v>
      </c>
      <c r="L55" s="97">
        <f>SUM(+L12+L20+L29+L34+L38+L45+L54)</f>
        <v>0</v>
      </c>
      <c r="S55" s="5"/>
      <c r="T55" s="5"/>
    </row>
    <row r="56" spans="1:20" ht="12" thickBot="1" x14ac:dyDescent="0.25">
      <c r="A56" s="71" t="s">
        <v>18</v>
      </c>
      <c r="B56" s="389"/>
      <c r="C56" s="389"/>
      <c r="D56" s="389"/>
      <c r="E56" s="389"/>
      <c r="F56" s="389"/>
      <c r="G56" s="389"/>
      <c r="H56" s="389"/>
      <c r="I56" s="389"/>
      <c r="J56" s="389"/>
      <c r="K56" s="389"/>
      <c r="L56" s="81">
        <f>SUM(B56:K56)</f>
        <v>0</v>
      </c>
      <c r="S56" s="5"/>
      <c r="T56" s="5"/>
    </row>
    <row r="57" spans="1:20" ht="12" thickBot="1" x14ac:dyDescent="0.25">
      <c r="A57" s="79" t="s">
        <v>19</v>
      </c>
      <c r="B57" s="80">
        <f>+B55+B56</f>
        <v>0</v>
      </c>
      <c r="C57" s="80">
        <f t="shared" ref="C57:F57" si="15">+C55+C56</f>
        <v>0</v>
      </c>
      <c r="D57" s="80">
        <f t="shared" si="15"/>
        <v>0</v>
      </c>
      <c r="E57" s="80">
        <f t="shared" si="15"/>
        <v>0</v>
      </c>
      <c r="F57" s="80">
        <f t="shared" si="15"/>
        <v>0</v>
      </c>
      <c r="G57" s="80">
        <f t="shared" ref="G57:K57" si="16">+G55+G56</f>
        <v>0</v>
      </c>
      <c r="H57" s="80">
        <f t="shared" si="16"/>
        <v>0</v>
      </c>
      <c r="I57" s="80">
        <f t="shared" si="16"/>
        <v>0</v>
      </c>
      <c r="J57" s="80">
        <f t="shared" si="16"/>
        <v>0</v>
      </c>
      <c r="K57" s="80">
        <f t="shared" si="16"/>
        <v>0</v>
      </c>
      <c r="L57" s="81">
        <f>SUM(B57:K57)</f>
        <v>0</v>
      </c>
      <c r="S57" s="5"/>
      <c r="T57" s="5"/>
    </row>
    <row r="58" spans="1:20" x14ac:dyDescent="0.2">
      <c r="A58" s="7"/>
      <c r="B58" s="4"/>
      <c r="C58" s="4"/>
      <c r="D58" s="4"/>
      <c r="E58" s="4"/>
      <c r="F58" s="4"/>
      <c r="G58" s="4"/>
      <c r="H58" s="4"/>
      <c r="I58" s="4"/>
      <c r="J58" s="4"/>
      <c r="K58" s="4"/>
      <c r="Q58" s="4"/>
      <c r="S58" s="5"/>
      <c r="T58" s="5"/>
    </row>
    <row r="59" spans="1:20" x14ac:dyDescent="0.2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N59" s="18"/>
      <c r="O59" s="4"/>
      <c r="P59" s="18"/>
      <c r="Q59" s="18"/>
      <c r="R59" s="18"/>
      <c r="S59" s="5"/>
      <c r="T59" s="5"/>
    </row>
    <row r="60" spans="1:20" x14ac:dyDescent="0.2">
      <c r="A60" s="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N60" s="18"/>
      <c r="O60" s="4"/>
      <c r="P60" s="18"/>
      <c r="Q60" s="18"/>
      <c r="R60" s="18"/>
      <c r="S60" s="5"/>
      <c r="T60" s="5"/>
    </row>
    <row r="61" spans="1:20" ht="12" thickBot="1" x14ac:dyDescent="0.25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2"/>
      <c r="N61" s="12"/>
      <c r="O61" s="12"/>
      <c r="P61" s="4"/>
    </row>
    <row r="63" spans="1:20" x14ac:dyDescent="0.2">
      <c r="A63" s="1" t="s">
        <v>37</v>
      </c>
      <c r="B63" s="84">
        <f>IF(B57&lt;25000,B57,25000)</f>
        <v>0</v>
      </c>
      <c r="C63" s="84">
        <f>IF(+B57&gt;25000,0,IF(B57+C57&gt;25000,(25000-B57),C57))</f>
        <v>0</v>
      </c>
      <c r="D63" s="84">
        <f>IF(+B57+C57&gt;25000,0,IF(B57+C57+D57&gt;25000,(25000-(B57+C57)),D57))</f>
        <v>0</v>
      </c>
      <c r="E63" s="84">
        <f>IF(B57+C57+D57&gt;25000,0,IF(B57+C57+D57+E57&gt;25000,(25000-(B57+C57+D57)),E57))</f>
        <v>0</v>
      </c>
      <c r="F63" s="84">
        <f>IF(B57+C57+D57+E57&gt;25000,0,IF(B57+C57+D57+E57+F57&gt;25000,(25000-(B57+C57+D57+E57)),F57))</f>
        <v>0</v>
      </c>
      <c r="G63" s="84">
        <f t="shared" ref="G63:K63" si="17">IF(C57+D57+E57+F57&gt;25000,0,IF(C57+D57+E57+F57+G57&gt;25000,(25000-(C57+D57+E57+F57)),G57))</f>
        <v>0</v>
      </c>
      <c r="H63" s="84">
        <f t="shared" si="17"/>
        <v>0</v>
      </c>
      <c r="I63" s="84">
        <f t="shared" si="17"/>
        <v>0</v>
      </c>
      <c r="J63" s="84">
        <f t="shared" si="17"/>
        <v>0</v>
      </c>
      <c r="K63" s="84">
        <f t="shared" si="17"/>
        <v>0</v>
      </c>
      <c r="L63" s="17">
        <f>SUM(B63:K63)</f>
        <v>0</v>
      </c>
      <c r="M63" s="17"/>
      <c r="N63" s="1"/>
    </row>
    <row r="64" spans="1:20" x14ac:dyDescent="0.2">
      <c r="A64" s="1" t="s">
        <v>38</v>
      </c>
      <c r="B64" s="84">
        <f>+B57-B63</f>
        <v>0</v>
      </c>
      <c r="C64" s="84">
        <f>+C57-C63</f>
        <v>0</v>
      </c>
      <c r="D64" s="84">
        <f>+D57-D63</f>
        <v>0</v>
      </c>
      <c r="E64" s="84">
        <f>+E57-E63</f>
        <v>0</v>
      </c>
      <c r="F64" s="84">
        <f>+F57-F63</f>
        <v>0</v>
      </c>
      <c r="G64" s="84">
        <f t="shared" ref="G64:K64" si="18">+G57-G63</f>
        <v>0</v>
      </c>
      <c r="H64" s="84">
        <f t="shared" si="18"/>
        <v>0</v>
      </c>
      <c r="I64" s="84">
        <f t="shared" si="18"/>
        <v>0</v>
      </c>
      <c r="J64" s="84">
        <f t="shared" si="18"/>
        <v>0</v>
      </c>
      <c r="K64" s="84">
        <f t="shared" si="18"/>
        <v>0</v>
      </c>
      <c r="L64" s="17">
        <f>SUM(B64:K64)</f>
        <v>0</v>
      </c>
      <c r="M64" s="17"/>
      <c r="N64" s="1"/>
    </row>
    <row r="65" spans="2:12" x14ac:dyDescent="0.2">
      <c r="C65" s="5"/>
      <c r="L65" s="17"/>
    </row>
    <row r="66" spans="2:12" x14ac:dyDescent="0.2">
      <c r="B66" s="5">
        <f>SUM(B63:B64)</f>
        <v>0</v>
      </c>
      <c r="C66" s="5">
        <f>SUM(C63:C64)</f>
        <v>0</v>
      </c>
      <c r="D66" s="5">
        <f t="shared" ref="D66" si="19">SUM(D63:D64)</f>
        <v>0</v>
      </c>
      <c r="E66" s="5">
        <f t="shared" ref="E66:F66" si="20">SUM(E63:E64)</f>
        <v>0</v>
      </c>
      <c r="F66" s="5">
        <f t="shared" si="20"/>
        <v>0</v>
      </c>
      <c r="G66" s="5">
        <f t="shared" ref="G66:K66" si="21">SUM(G63:G64)</f>
        <v>0</v>
      </c>
      <c r="H66" s="5">
        <f t="shared" si="21"/>
        <v>0</v>
      </c>
      <c r="I66" s="5">
        <f t="shared" si="21"/>
        <v>0</v>
      </c>
      <c r="J66" s="5">
        <f t="shared" si="21"/>
        <v>0</v>
      </c>
      <c r="K66" s="5">
        <f t="shared" si="21"/>
        <v>0</v>
      </c>
      <c r="L66" s="17">
        <f>SUM(B66:K66)</f>
        <v>0</v>
      </c>
    </row>
  </sheetData>
  <pageMargins left="0.75" right="0.53" top="0.7" bottom="0.64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23</vt:i4>
      </vt:variant>
    </vt:vector>
  </HeadingPairs>
  <TitlesOfParts>
    <vt:vector size="38" baseType="lpstr">
      <vt:lpstr>rates, dates, etc</vt:lpstr>
      <vt:lpstr>Budget Summary</vt:lpstr>
      <vt:lpstr>Lead Budget</vt:lpstr>
      <vt:lpstr>Co-PI Budget (1)</vt:lpstr>
      <vt:lpstr>Co-PI Budget (2)</vt:lpstr>
      <vt:lpstr>Co-PI Budget (3)</vt:lpstr>
      <vt:lpstr>Co-PI Budget (4)</vt:lpstr>
      <vt:lpstr>Co-PI Budget (5)</vt:lpstr>
      <vt:lpstr>Consortium 1</vt:lpstr>
      <vt:lpstr>Consortium 2</vt:lpstr>
      <vt:lpstr>Consortium 3</vt:lpstr>
      <vt:lpstr>Consortium 4</vt:lpstr>
      <vt:lpstr>Consortium 5</vt:lpstr>
      <vt:lpstr>GRA.Mat</vt:lpstr>
      <vt:lpstr>Travel</vt:lpstr>
      <vt:lpstr>CoPI_1_GRARateTbl</vt:lpstr>
      <vt:lpstr>CoPI_2_GRARateTbl</vt:lpstr>
      <vt:lpstr>CoPI_3_GRARateTbl</vt:lpstr>
      <vt:lpstr>CoPI_4_GRARateTbl</vt:lpstr>
      <vt:lpstr>CoPI_5_GRARateTbl</vt:lpstr>
      <vt:lpstr>FringeAndIDCRates</vt:lpstr>
      <vt:lpstr>Minimum_Undergraduate_rate</vt:lpstr>
      <vt:lpstr>PI_GRARateTbl</vt:lpstr>
      <vt:lpstr>PostdocMinRate</vt:lpstr>
      <vt:lpstr>'Budget Summary'!Print_Area</vt:lpstr>
      <vt:lpstr>'Consortium 1'!Print_Area</vt:lpstr>
      <vt:lpstr>'Consortium 2'!Print_Area</vt:lpstr>
      <vt:lpstr>'Consortium 3'!Print_Area</vt:lpstr>
      <vt:lpstr>'Consortium 4'!Print_Area</vt:lpstr>
      <vt:lpstr>'Consortium 5'!Print_Area</vt:lpstr>
      <vt:lpstr>'Co-PI Budget (1)'!Print_Area</vt:lpstr>
      <vt:lpstr>'Co-PI Budget (2)'!Print_Area</vt:lpstr>
      <vt:lpstr>'Co-PI Budget (3)'!Print_Area</vt:lpstr>
      <vt:lpstr>'Co-PI Budget (4)'!Print_Area</vt:lpstr>
      <vt:lpstr>'Co-PI Budget (5)'!Print_Area</vt:lpstr>
      <vt:lpstr>'Lead Budget'!Print_Area</vt:lpstr>
      <vt:lpstr>'rates, dates, etc'!Print_Area</vt:lpstr>
      <vt:lpstr>Stipend9Mo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Shannon Finnerty-Pelto</cp:lastModifiedBy>
  <cp:lastPrinted>2019-06-19T13:45:56Z</cp:lastPrinted>
  <dcterms:created xsi:type="dcterms:W3CDTF">2012-08-01T14:58:05Z</dcterms:created>
  <dcterms:modified xsi:type="dcterms:W3CDTF">2024-09-09T19:38:54Z</dcterms:modified>
</cp:coreProperties>
</file>